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9D712CFE-089F-4D3B-AB1A-ED3D515C4BBC}" xr6:coauthVersionLast="47" xr6:coauthVersionMax="47" xr10:uidLastSave="{00000000-0000-0000-0000-000000000000}"/>
  <bookViews>
    <workbookView xWindow="67080" yWindow="-3855" windowWidth="38640" windowHeight="21120" xr2:uid="{18A7F033-5ADF-4241-9CA7-F2F5CFB6069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R58" i="1" l="1"/>
  <c r="CO58" i="1"/>
  <c r="CG58" i="1"/>
  <c r="CD58" i="1"/>
  <c r="BZ58" i="1"/>
  <c r="CL58" i="1" s="1"/>
  <c r="N58" i="1"/>
  <c r="P58" i="1" s="1"/>
  <c r="R58" i="1" s="1"/>
  <c r="V58" i="1" s="1"/>
  <c r="FL58" i="1"/>
  <c r="FO58" i="1" s="1"/>
  <c r="BD58" i="1"/>
  <c r="GX58" i="1"/>
  <c r="GB58" i="1"/>
  <c r="FF58" i="1"/>
  <c r="FE58" i="1"/>
  <c r="BJ58" i="1"/>
  <c r="BI58" i="1"/>
  <c r="GR58" i="1"/>
  <c r="AN58" i="1" s="1"/>
  <c r="GF58" i="1"/>
  <c r="GV58" i="1"/>
  <c r="GT58" i="1" s="1"/>
  <c r="D58" i="1" s="1"/>
  <c r="DP50" i="1"/>
  <c r="DP49" i="1"/>
  <c r="FK48" i="1"/>
  <c r="FJ48" i="1"/>
  <c r="FI48" i="1"/>
  <c r="DO48" i="1"/>
  <c r="DM48" i="1"/>
  <c r="DL48" i="1"/>
  <c r="BK48" i="1"/>
  <c r="BH48" i="1"/>
  <c r="GX47" i="1"/>
  <c r="GM47" i="1"/>
  <c r="FL47" i="1"/>
  <c r="FO47" i="1" s="1"/>
  <c r="FE47" i="1"/>
  <c r="FC47" i="1"/>
  <c r="DV47" i="1"/>
  <c r="BA47" i="1"/>
  <c r="DE47" i="1"/>
  <c r="DF47" i="1" s="1"/>
  <c r="CR47" i="1"/>
  <c r="AS47" i="1"/>
  <c r="CG47" i="1"/>
  <c r="FF47" i="1"/>
  <c r="BZ47" i="1"/>
  <c r="BJ47" i="1"/>
  <c r="BI47" i="1"/>
  <c r="BF47" i="1"/>
  <c r="BO47" i="1" s="1"/>
  <c r="BE47" i="1"/>
  <c r="BD47" i="1"/>
  <c r="BB47" i="1"/>
  <c r="AZ47" i="1"/>
  <c r="N47" i="1"/>
  <c r="AB47" i="1" s="1"/>
  <c r="H47" i="1"/>
  <c r="GR47" i="1"/>
  <c r="AN47" i="1" s="1"/>
  <c r="GJ47" i="1"/>
  <c r="GH47" i="1" s="1"/>
  <c r="GV47" i="1"/>
  <c r="GT47" i="1" s="1"/>
  <c r="D47" i="1" s="1"/>
  <c r="GV46" i="1"/>
  <c r="GT46" i="1" s="1"/>
  <c r="D46" i="1" s="1"/>
  <c r="AE46" i="1" s="1"/>
  <c r="GM46" i="1"/>
  <c r="AL46" i="1"/>
  <c r="FX46" i="1"/>
  <c r="FR46" i="1"/>
  <c r="FL46" i="1"/>
  <c r="FM46" i="1" s="1"/>
  <c r="FE46" i="1"/>
  <c r="FC46" i="1"/>
  <c r="BS46" i="1" s="1"/>
  <c r="GX46" i="1"/>
  <c r="DV46" i="1"/>
  <c r="BA46" i="1"/>
  <c r="AX46" i="1"/>
  <c r="CR46" i="1"/>
  <c r="CG46" i="1"/>
  <c r="BZ46" i="1"/>
  <c r="BJ46" i="1"/>
  <c r="BI46" i="1"/>
  <c r="BB46" i="1"/>
  <c r="AZ46" i="1"/>
  <c r="AP46" i="1"/>
  <c r="N46" i="1"/>
  <c r="P46" i="1" s="1"/>
  <c r="GR46" i="1"/>
  <c r="AN46" i="1" s="1"/>
  <c r="FS46" i="1"/>
  <c r="GR45" i="1"/>
  <c r="AN45" i="1" s="1"/>
  <c r="GM45" i="1"/>
  <c r="FX45" i="1"/>
  <c r="FR45" i="1"/>
  <c r="FL45" i="1"/>
  <c r="FM45" i="1" s="1"/>
  <c r="DV45" i="1"/>
  <c r="BB45" i="1"/>
  <c r="AZ45" i="1"/>
  <c r="DE45" i="1"/>
  <c r="DF45" i="1" s="1"/>
  <c r="AX45" i="1"/>
  <c r="CR45" i="1"/>
  <c r="CO45" i="1"/>
  <c r="FF45" i="1"/>
  <c r="FE45" i="1"/>
  <c r="BZ45" i="1"/>
  <c r="BJ45" i="1"/>
  <c r="BI45" i="1"/>
  <c r="BF45" i="1"/>
  <c r="BO45" i="1" s="1"/>
  <c r="BE45" i="1"/>
  <c r="BD45" i="1"/>
  <c r="BA45" i="1"/>
  <c r="AQ45" i="1"/>
  <c r="AP45" i="1"/>
  <c r="N45" i="1"/>
  <c r="P45" i="1" s="1"/>
  <c r="GJ45" i="1"/>
  <c r="GH45" i="1" s="1"/>
  <c r="GV45" i="1"/>
  <c r="GX44" i="1"/>
  <c r="GJ44" i="1"/>
  <c r="GM44" i="1"/>
  <c r="FX44" i="1"/>
  <c r="FL44" i="1"/>
  <c r="FN44" i="1" s="1"/>
  <c r="FF44" i="1"/>
  <c r="FC44" i="1"/>
  <c r="EN44" i="1"/>
  <c r="ET44" i="1" s="1"/>
  <c r="BF44" i="1"/>
  <c r="BO44" i="1" s="1"/>
  <c r="BD44" i="1"/>
  <c r="BB44" i="1"/>
  <c r="DV44" i="1"/>
  <c r="DE44" i="1"/>
  <c r="DF44" i="1" s="1"/>
  <c r="CR44" i="1"/>
  <c r="CG44" i="1"/>
  <c r="FE44" i="1"/>
  <c r="BZ44" i="1"/>
  <c r="BJ44" i="1"/>
  <c r="BI44" i="1"/>
  <c r="BE44" i="1"/>
  <c r="N44" i="1"/>
  <c r="GV44" i="1"/>
  <c r="GX43" i="1"/>
  <c r="GV43" i="1"/>
  <c r="GT43" i="1"/>
  <c r="D43" i="1" s="1"/>
  <c r="AE43" i="1" s="1"/>
  <c r="GM43" i="1"/>
  <c r="AX43" i="1"/>
  <c r="FX43" i="1"/>
  <c r="FR43" i="1"/>
  <c r="FL43" i="1"/>
  <c r="FN43" i="1" s="1"/>
  <c r="FE43" i="1"/>
  <c r="BF43" i="1"/>
  <c r="BO43" i="1" s="1"/>
  <c r="DV43" i="1"/>
  <c r="BB43" i="1"/>
  <c r="BA43" i="1"/>
  <c r="AZ43" i="1"/>
  <c r="DE43" i="1"/>
  <c r="DF43" i="1" s="1"/>
  <c r="CR43" i="1"/>
  <c r="CO43" i="1"/>
  <c r="AQ43" i="1"/>
  <c r="CG43" i="1"/>
  <c r="FF43" i="1"/>
  <c r="BJ43" i="1"/>
  <c r="BI43" i="1"/>
  <c r="BD43" i="1"/>
  <c r="H43" i="1"/>
  <c r="GR43" i="1"/>
  <c r="GJ43" i="1"/>
  <c r="FS43" i="1"/>
  <c r="GM42" i="1"/>
  <c r="FX42" i="1"/>
  <c r="FL42" i="1"/>
  <c r="FO42" i="1" s="1"/>
  <c r="FF42" i="1"/>
  <c r="FC42" i="1"/>
  <c r="BS42" i="1" s="1"/>
  <c r="BE42" i="1"/>
  <c r="BD42" i="1"/>
  <c r="DE42" i="1"/>
  <c r="DF42" i="1" s="1"/>
  <c r="AS42" i="1"/>
  <c r="CG42" i="1"/>
  <c r="FE42" i="1"/>
  <c r="BZ42" i="1"/>
  <c r="BJ42" i="1"/>
  <c r="BI42" i="1"/>
  <c r="BF42" i="1"/>
  <c r="BO42" i="1" s="1"/>
  <c r="GR42" i="1"/>
  <c r="GP42" i="1" s="1"/>
  <c r="GJ42" i="1"/>
  <c r="GH42" i="1" s="1"/>
  <c r="H42" i="1"/>
  <c r="GR41" i="1"/>
  <c r="AX41" i="1"/>
  <c r="FL41" i="1"/>
  <c r="FO41" i="1" s="1"/>
  <c r="FF41" i="1"/>
  <c r="FC41" i="1"/>
  <c r="BD41" i="1"/>
  <c r="BB41" i="1"/>
  <c r="DE41" i="1"/>
  <c r="DF41" i="1" s="1"/>
  <c r="CR41" i="1"/>
  <c r="CO41" i="1"/>
  <c r="CG41" i="1"/>
  <c r="FE41" i="1"/>
  <c r="BZ41" i="1"/>
  <c r="BJ41" i="1"/>
  <c r="BI41" i="1"/>
  <c r="BF41" i="1"/>
  <c r="BO41" i="1" s="1"/>
  <c r="BE41" i="1"/>
  <c r="N41" i="1"/>
  <c r="AD41" i="1" s="1"/>
  <c r="I41" i="1"/>
  <c r="GJ41" i="1"/>
  <c r="GH41" i="1" s="1"/>
  <c r="FS41" i="1"/>
  <c r="GV41" i="1"/>
  <c r="GX40" i="1"/>
  <c r="GV40" i="1"/>
  <c r="GT40" i="1" s="1"/>
  <c r="D40" i="1" s="1"/>
  <c r="GM40" i="1"/>
  <c r="GJ40" i="1"/>
  <c r="GH40" i="1" s="1"/>
  <c r="FZ40" i="1"/>
  <c r="FS40" i="1"/>
  <c r="FL40" i="1"/>
  <c r="FM40" i="1" s="1"/>
  <c r="FF40" i="1"/>
  <c r="FC40" i="1"/>
  <c r="BF40" i="1"/>
  <c r="BO40" i="1" s="1"/>
  <c r="DV40" i="1"/>
  <c r="BB40" i="1"/>
  <c r="DE40" i="1"/>
  <c r="DF40" i="1" s="1"/>
  <c r="CR40" i="1"/>
  <c r="CG40" i="1"/>
  <c r="FE40" i="1"/>
  <c r="CD40" i="1"/>
  <c r="BZ40" i="1"/>
  <c r="BJ40" i="1"/>
  <c r="BI40" i="1"/>
  <c r="BA40" i="1"/>
  <c r="AZ40" i="1"/>
  <c r="AX40" i="1"/>
  <c r="N40" i="1"/>
  <c r="H40" i="1"/>
  <c r="I40" i="1"/>
  <c r="GJ39" i="1"/>
  <c r="GH39" i="1" s="1"/>
  <c r="FX39" i="1"/>
  <c r="FS39" i="1"/>
  <c r="FR39" i="1"/>
  <c r="FN39" i="1"/>
  <c r="FL39" i="1"/>
  <c r="FM39" i="1" s="1"/>
  <c r="BF39" i="1"/>
  <c r="BO39" i="1" s="1"/>
  <c r="BE39" i="1"/>
  <c r="BN39" i="1" s="1"/>
  <c r="DV39" i="1"/>
  <c r="DE39" i="1"/>
  <c r="DF39" i="1" s="1"/>
  <c r="FZ39" i="1"/>
  <c r="CR39" i="1"/>
  <c r="CG39" i="1"/>
  <c r="FF39" i="1"/>
  <c r="FE39" i="1"/>
  <c r="CD39" i="1"/>
  <c r="BZ39" i="1"/>
  <c r="BJ39" i="1"/>
  <c r="BI39" i="1"/>
  <c r="BA39" i="1"/>
  <c r="AZ39" i="1"/>
  <c r="N39" i="1"/>
  <c r="P39" i="1" s="1"/>
  <c r="I39" i="1"/>
  <c r="AQ39" i="1"/>
  <c r="H39" i="1"/>
  <c r="GR38" i="1"/>
  <c r="GP38" i="1" s="1"/>
  <c r="FZ38" i="1"/>
  <c r="FX38" i="1"/>
  <c r="FM38" i="1"/>
  <c r="FL38" i="1"/>
  <c r="FO38" i="1" s="1"/>
  <c r="FE38" i="1"/>
  <c r="FC38" i="1"/>
  <c r="DV38" i="1"/>
  <c r="BA38" i="1"/>
  <c r="CO38" i="1"/>
  <c r="FF38" i="1"/>
  <c r="BZ38" i="1"/>
  <c r="BJ38" i="1"/>
  <c r="BI38" i="1"/>
  <c r="BD38" i="1"/>
  <c r="BB38" i="1"/>
  <c r="AZ38" i="1"/>
  <c r="AD38" i="1"/>
  <c r="N38" i="1"/>
  <c r="H38" i="1"/>
  <c r="GJ38" i="1"/>
  <c r="AP38" i="1"/>
  <c r="GX38" i="1"/>
  <c r="GV37" i="1"/>
  <c r="GT37" i="1" s="1"/>
  <c r="D37" i="1" s="1"/>
  <c r="GR37" i="1"/>
  <c r="AN37" i="1" s="1"/>
  <c r="GM37" i="1"/>
  <c r="FL37" i="1"/>
  <c r="FN37" i="1" s="1"/>
  <c r="FC37" i="1"/>
  <c r="DV37" i="1"/>
  <c r="AZ37" i="1"/>
  <c r="DE37" i="1"/>
  <c r="DF37" i="1" s="1"/>
  <c r="AX37" i="1"/>
  <c r="CR37" i="1"/>
  <c r="CG37" i="1"/>
  <c r="FF37" i="1"/>
  <c r="FE37" i="1"/>
  <c r="BZ37" i="1"/>
  <c r="BJ37" i="1"/>
  <c r="BI37" i="1"/>
  <c r="BF37" i="1"/>
  <c r="BO37" i="1" s="1"/>
  <c r="BE37" i="1"/>
  <c r="BD37" i="1"/>
  <c r="BB37" i="1"/>
  <c r="BA37" i="1"/>
  <c r="AS37" i="1"/>
  <c r="I37" i="1"/>
  <c r="AQ37" i="1"/>
  <c r="GJ37" i="1"/>
  <c r="GH37" i="1" s="1"/>
  <c r="FS37" i="1"/>
  <c r="H37" i="1"/>
  <c r="GM36" i="1"/>
  <c r="FX36" i="1"/>
  <c r="FL36" i="1"/>
  <c r="FN36" i="1" s="1"/>
  <c r="FE36" i="1"/>
  <c r="BE36" i="1"/>
  <c r="BD36" i="1"/>
  <c r="FZ36" i="1"/>
  <c r="CR36" i="1"/>
  <c r="CG36" i="1"/>
  <c r="FF36" i="1"/>
  <c r="BZ36" i="1"/>
  <c r="BJ36" i="1"/>
  <c r="BI36" i="1"/>
  <c r="N36" i="1"/>
  <c r="AC36" i="1" s="1"/>
  <c r="GJ36" i="1"/>
  <c r="GV36" i="1"/>
  <c r="GT36" i="1" s="1"/>
  <c r="D36" i="1" s="1"/>
  <c r="AE36" i="1" s="1"/>
  <c r="GV35" i="1"/>
  <c r="GT35" i="1" s="1"/>
  <c r="D35" i="1" s="1"/>
  <c r="GD35" i="1"/>
  <c r="BQ35" i="1" s="1"/>
  <c r="FX35" i="1"/>
  <c r="FR35" i="1"/>
  <c r="FL35" i="1"/>
  <c r="FN35" i="1" s="1"/>
  <c r="FF35" i="1"/>
  <c r="FC35" i="1"/>
  <c r="EN35" i="1"/>
  <c r="BE35" i="1"/>
  <c r="BD35" i="1"/>
  <c r="GX35" i="1"/>
  <c r="CR35" i="1"/>
  <c r="CG35" i="1"/>
  <c r="FE35" i="1"/>
  <c r="CD35" i="1"/>
  <c r="BN35" i="1"/>
  <c r="BJ35" i="1"/>
  <c r="BI35" i="1"/>
  <c r="BF35" i="1"/>
  <c r="BO35" i="1" s="1"/>
  <c r="AS35" i="1"/>
  <c r="N35" i="1"/>
  <c r="I35" i="1"/>
  <c r="H35" i="1"/>
  <c r="GR35" i="1"/>
  <c r="AN35" i="1" s="1"/>
  <c r="GJ35" i="1"/>
  <c r="FS35" i="1"/>
  <c r="GR34" i="1"/>
  <c r="GP34" i="1" s="1"/>
  <c r="GM34" i="1"/>
  <c r="FS34" i="1"/>
  <c r="FX34" i="1"/>
  <c r="FR34" i="1"/>
  <c r="FL34" i="1"/>
  <c r="FO34" i="1" s="1"/>
  <c r="FF34" i="1"/>
  <c r="FC34" i="1"/>
  <c r="BF34" i="1"/>
  <c r="BO34" i="1" s="1"/>
  <c r="BE34" i="1"/>
  <c r="DV34" i="1"/>
  <c r="DE34" i="1"/>
  <c r="DF34" i="1" s="1"/>
  <c r="CR34" i="1"/>
  <c r="AQ34" i="1"/>
  <c r="CG34" i="1"/>
  <c r="FE34" i="1"/>
  <c r="GD34" i="1"/>
  <c r="BZ34" i="1"/>
  <c r="BJ34" i="1"/>
  <c r="BI34" i="1"/>
  <c r="BD34" i="1"/>
  <c r="BA34" i="1"/>
  <c r="AZ34" i="1"/>
  <c r="AL34" i="1"/>
  <c r="AP34" i="1"/>
  <c r="GJ34" i="1"/>
  <c r="GN34" i="1" s="1"/>
  <c r="I34" i="1"/>
  <c r="H34" i="1"/>
  <c r="GV33" i="1"/>
  <c r="GR33" i="1"/>
  <c r="AN33" i="1" s="1"/>
  <c r="GM33" i="1"/>
  <c r="FZ33" i="1"/>
  <c r="FS33" i="1"/>
  <c r="FL33" i="1"/>
  <c r="FO33" i="1" s="1"/>
  <c r="FC33" i="1"/>
  <c r="BS33" i="1" s="1"/>
  <c r="GX33" i="1"/>
  <c r="DV33" i="1"/>
  <c r="BA33" i="1"/>
  <c r="AZ33" i="1"/>
  <c r="DE33" i="1"/>
  <c r="DF33" i="1" s="1"/>
  <c r="CR33" i="1"/>
  <c r="AS33" i="1"/>
  <c r="CO33" i="1"/>
  <c r="CG33" i="1"/>
  <c r="FF33" i="1"/>
  <c r="FE33" i="1"/>
  <c r="BZ33" i="1"/>
  <c r="BJ33" i="1"/>
  <c r="BI33" i="1"/>
  <c r="BF33" i="1"/>
  <c r="BO33" i="1" s="1"/>
  <c r="BE33" i="1"/>
  <c r="BD33" i="1"/>
  <c r="BB33" i="1"/>
  <c r="AX33" i="1"/>
  <c r="N33" i="1"/>
  <c r="GJ33" i="1"/>
  <c r="GH33" i="1" s="1"/>
  <c r="I33" i="1"/>
  <c r="H33" i="1"/>
  <c r="GD32" i="1"/>
  <c r="BQ32" i="1" s="1"/>
  <c r="GM32" i="1"/>
  <c r="FX32" i="1"/>
  <c r="FL32" i="1"/>
  <c r="FO32" i="1" s="1"/>
  <c r="FE32" i="1"/>
  <c r="FC32" i="1"/>
  <c r="BE32" i="1"/>
  <c r="BD32" i="1"/>
  <c r="DV32" i="1"/>
  <c r="BB32" i="1"/>
  <c r="BA32" i="1"/>
  <c r="AZ32" i="1"/>
  <c r="DE32" i="1"/>
  <c r="DF32" i="1" s="1"/>
  <c r="AX32" i="1"/>
  <c r="CR32" i="1"/>
  <c r="CO32" i="1"/>
  <c r="CD32" i="1"/>
  <c r="FF32" i="1"/>
  <c r="BZ32" i="1"/>
  <c r="BJ32" i="1"/>
  <c r="BI32" i="1"/>
  <c r="BF32" i="1"/>
  <c r="BO32" i="1" s="1"/>
  <c r="AP32" i="1"/>
  <c r="N32" i="1"/>
  <c r="P32" i="1" s="1"/>
  <c r="GJ32" i="1"/>
  <c r="FS32" i="1"/>
  <c r="GX32" i="1"/>
  <c r="GX31" i="1"/>
  <c r="GR31" i="1"/>
  <c r="AN31" i="1" s="1"/>
  <c r="GM31" i="1"/>
  <c r="FX31" i="1"/>
  <c r="FL31" i="1"/>
  <c r="FF31" i="1"/>
  <c r="FE31" i="1"/>
  <c r="FC31" i="1"/>
  <c r="EN31" i="1"/>
  <c r="ES31" i="1" s="1"/>
  <c r="BF31" i="1"/>
  <c r="BO31" i="1" s="1"/>
  <c r="BE31" i="1"/>
  <c r="BD31" i="1"/>
  <c r="DV31" i="1"/>
  <c r="BB31" i="1"/>
  <c r="BA31" i="1"/>
  <c r="CR31" i="1"/>
  <c r="AQ31" i="1"/>
  <c r="AS31" i="1"/>
  <c r="CG31" i="1"/>
  <c r="BZ31" i="1"/>
  <c r="BJ31" i="1"/>
  <c r="BI31" i="1"/>
  <c r="AZ31" i="1"/>
  <c r="AX31" i="1"/>
  <c r="AP31" i="1"/>
  <c r="N31" i="1"/>
  <c r="AC31" i="1" s="1"/>
  <c r="GJ31" i="1"/>
  <c r="GH31" i="1" s="1"/>
  <c r="I31" i="1"/>
  <c r="GV31" i="1"/>
  <c r="GT31" i="1" s="1"/>
  <c r="D31" i="1" s="1"/>
  <c r="AE31" i="1" s="1"/>
  <c r="GV30" i="1"/>
  <c r="GT30" i="1" s="1"/>
  <c r="D30" i="1" s="1"/>
  <c r="Z30" i="1" s="1"/>
  <c r="GM30" i="1"/>
  <c r="FL30" i="1"/>
  <c r="FM30" i="1" s="1"/>
  <c r="FC30" i="1"/>
  <c r="BE30" i="1"/>
  <c r="BD30" i="1"/>
  <c r="DV30" i="1"/>
  <c r="BB30" i="1"/>
  <c r="AZ30" i="1"/>
  <c r="DE30" i="1"/>
  <c r="DF30" i="1" s="1"/>
  <c r="AX30" i="1"/>
  <c r="CR30" i="1"/>
  <c r="CG30" i="1"/>
  <c r="FF30" i="1"/>
  <c r="FE30" i="1"/>
  <c r="BZ30" i="1"/>
  <c r="BJ30" i="1"/>
  <c r="BI30" i="1"/>
  <c r="BF30" i="1"/>
  <c r="BO30" i="1" s="1"/>
  <c r="BA30" i="1"/>
  <c r="H30" i="1"/>
  <c r="AQ30" i="1"/>
  <c r="GJ30" i="1"/>
  <c r="GH30" i="1" s="1"/>
  <c r="FS30" i="1"/>
  <c r="GX30" i="1"/>
  <c r="GX29" i="1"/>
  <c r="GM29" i="1"/>
  <c r="FX29" i="1"/>
  <c r="FR29" i="1"/>
  <c r="FL29" i="1"/>
  <c r="FO29" i="1" s="1"/>
  <c r="FE29" i="1"/>
  <c r="FC29" i="1"/>
  <c r="BF29" i="1"/>
  <c r="BO29" i="1" s="1"/>
  <c r="DV29" i="1"/>
  <c r="BA29" i="1"/>
  <c r="DE29" i="1"/>
  <c r="DF29" i="1" s="1"/>
  <c r="CR29" i="1"/>
  <c r="CG29" i="1"/>
  <c r="FF29" i="1"/>
  <c r="BZ29" i="1"/>
  <c r="BJ29" i="1"/>
  <c r="BI29" i="1"/>
  <c r="BE29" i="1"/>
  <c r="BD29" i="1"/>
  <c r="BM29" i="1" s="1"/>
  <c r="BB29" i="1"/>
  <c r="AZ29" i="1"/>
  <c r="GR29" i="1"/>
  <c r="AN29" i="1" s="1"/>
  <c r="GJ29" i="1"/>
  <c r="GX28" i="1"/>
  <c r="GJ28" i="1"/>
  <c r="GH28" i="1" s="1"/>
  <c r="GD28" i="1"/>
  <c r="FZ28" i="1"/>
  <c r="FX28" i="1"/>
  <c r="FL28" i="1"/>
  <c r="FO28" i="1" s="1"/>
  <c r="FF28" i="1"/>
  <c r="FC28" i="1"/>
  <c r="BS28" i="1" s="1"/>
  <c r="EN28" i="1"/>
  <c r="EQ28" i="1" s="1"/>
  <c r="BE28" i="1"/>
  <c r="BD28" i="1"/>
  <c r="BB28" i="1"/>
  <c r="DV28" i="1"/>
  <c r="BA28" i="1"/>
  <c r="AZ28" i="1"/>
  <c r="DE28" i="1"/>
  <c r="DF28" i="1" s="1"/>
  <c r="AX28" i="1"/>
  <c r="CR28" i="1"/>
  <c r="CG28" i="1"/>
  <c r="CD28" i="1"/>
  <c r="FE28" i="1"/>
  <c r="BZ28" i="1"/>
  <c r="BJ28" i="1"/>
  <c r="BI28" i="1"/>
  <c r="BF28" i="1"/>
  <c r="BO28" i="1" s="1"/>
  <c r="I28" i="1"/>
  <c r="H28" i="1"/>
  <c r="FS28" i="1"/>
  <c r="GV28" i="1"/>
  <c r="GM27" i="1"/>
  <c r="FX27" i="1"/>
  <c r="FS27" i="1"/>
  <c r="FL27" i="1"/>
  <c r="FO27" i="1" s="1"/>
  <c r="FE27" i="1"/>
  <c r="FC27" i="1"/>
  <c r="BF27" i="1"/>
  <c r="BO27" i="1" s="1"/>
  <c r="BD27" i="1"/>
  <c r="DV27" i="1"/>
  <c r="BA27" i="1"/>
  <c r="DE27" i="1"/>
  <c r="DF27" i="1" s="1"/>
  <c r="AX27" i="1"/>
  <c r="CR27" i="1"/>
  <c r="CG27" i="1"/>
  <c r="FF27" i="1"/>
  <c r="BZ27" i="1"/>
  <c r="BJ27" i="1"/>
  <c r="BI27" i="1"/>
  <c r="BE27" i="1"/>
  <c r="BN27" i="1" s="1"/>
  <c r="BB27" i="1"/>
  <c r="AZ27" i="1"/>
  <c r="AS27" i="1"/>
  <c r="N27" i="1"/>
  <c r="I27" i="1"/>
  <c r="AP27" i="1"/>
  <c r="GJ27" i="1"/>
  <c r="GH27" i="1" s="1"/>
  <c r="H27" i="1"/>
  <c r="GM26" i="1"/>
  <c r="FX26" i="1"/>
  <c r="FL26" i="1"/>
  <c r="FO26" i="1" s="1"/>
  <c r="FF26" i="1"/>
  <c r="FC26" i="1"/>
  <c r="BD26" i="1"/>
  <c r="DV26" i="1"/>
  <c r="BB26" i="1"/>
  <c r="BA26" i="1"/>
  <c r="AZ26" i="1"/>
  <c r="AX26" i="1"/>
  <c r="CR26" i="1"/>
  <c r="CG26" i="1"/>
  <c r="FE26" i="1"/>
  <c r="FG26" i="1" s="1"/>
  <c r="BZ26" i="1"/>
  <c r="BJ26" i="1"/>
  <c r="BI26" i="1"/>
  <c r="BF26" i="1"/>
  <c r="BO26" i="1" s="1"/>
  <c r="BE26" i="1"/>
  <c r="GR26" i="1"/>
  <c r="AN26" i="1" s="1"/>
  <c r="GJ26" i="1"/>
  <c r="H26" i="1"/>
  <c r="GM25" i="1"/>
  <c r="FN25" i="1"/>
  <c r="FL25" i="1"/>
  <c r="FO25" i="1" s="1"/>
  <c r="FC25" i="1"/>
  <c r="BD25" i="1"/>
  <c r="GX25" i="1"/>
  <c r="DV25" i="1"/>
  <c r="BA25" i="1"/>
  <c r="DE25" i="1"/>
  <c r="DF25" i="1" s="1"/>
  <c r="AX25" i="1"/>
  <c r="CR25" i="1"/>
  <c r="AS25" i="1"/>
  <c r="CO25" i="1"/>
  <c r="CG25" i="1"/>
  <c r="FF25" i="1"/>
  <c r="FE25" i="1"/>
  <c r="BZ25" i="1"/>
  <c r="BJ25" i="1"/>
  <c r="BI25" i="1"/>
  <c r="BF25" i="1"/>
  <c r="BO25" i="1" s="1"/>
  <c r="BE25" i="1"/>
  <c r="BB25" i="1"/>
  <c r="AZ25" i="1"/>
  <c r="N25" i="1"/>
  <c r="P25" i="1" s="1"/>
  <c r="R25" i="1" s="1"/>
  <c r="AQ25" i="1"/>
  <c r="GJ25" i="1"/>
  <c r="GV25" i="1"/>
  <c r="GT25" i="1" s="1"/>
  <c r="D25" i="1" s="1"/>
  <c r="AE25" i="1" s="1"/>
  <c r="GV24" i="1"/>
  <c r="GT24" i="1" s="1"/>
  <c r="D24" i="1" s="1"/>
  <c r="GJ24" i="1"/>
  <c r="GH24" i="1" s="1"/>
  <c r="GM24" i="1"/>
  <c r="FX24" i="1"/>
  <c r="FR24" i="1"/>
  <c r="FL24" i="1"/>
  <c r="FO24" i="1" s="1"/>
  <c r="FF24" i="1"/>
  <c r="FC24" i="1"/>
  <c r="BS24" i="1" s="1"/>
  <c r="EN24" i="1"/>
  <c r="BE24" i="1"/>
  <c r="BD24" i="1"/>
  <c r="GX24" i="1"/>
  <c r="DV24" i="1"/>
  <c r="AX24" i="1"/>
  <c r="CR24" i="1"/>
  <c r="CG24" i="1"/>
  <c r="FE24" i="1"/>
  <c r="BZ24" i="1"/>
  <c r="BJ24" i="1"/>
  <c r="BI24" i="1"/>
  <c r="BF24" i="1"/>
  <c r="BO24" i="1" s="1"/>
  <c r="BB24" i="1"/>
  <c r="BA24" i="1"/>
  <c r="AZ24" i="1"/>
  <c r="AS24" i="1"/>
  <c r="N24" i="1"/>
  <c r="AD24" i="1" s="1"/>
  <c r="I24" i="1"/>
  <c r="H24" i="1"/>
  <c r="GR24" i="1"/>
  <c r="AN24" i="1" s="1"/>
  <c r="GX23" i="1"/>
  <c r="GV23" i="1"/>
  <c r="GT23" i="1" s="1"/>
  <c r="D23" i="1" s="1"/>
  <c r="AA23" i="1" s="1"/>
  <c r="GM23" i="1"/>
  <c r="FX23" i="1"/>
  <c r="FS23" i="1"/>
  <c r="FR23" i="1"/>
  <c r="FL23" i="1"/>
  <c r="FO23" i="1" s="1"/>
  <c r="FE23" i="1"/>
  <c r="FC23" i="1"/>
  <c r="BE23" i="1"/>
  <c r="BF23" i="1"/>
  <c r="BO23" i="1" s="1"/>
  <c r="DV23" i="1"/>
  <c r="AZ23" i="1"/>
  <c r="DE23" i="1"/>
  <c r="DF23" i="1" s="1"/>
  <c r="AX23" i="1"/>
  <c r="CR23" i="1"/>
  <c r="AS23" i="1"/>
  <c r="CG23" i="1"/>
  <c r="FF23" i="1"/>
  <c r="BZ23" i="1"/>
  <c r="BJ23" i="1"/>
  <c r="BI23" i="1"/>
  <c r="BD23" i="1"/>
  <c r="BM23" i="1" s="1"/>
  <c r="BB23" i="1"/>
  <c r="BA23" i="1"/>
  <c r="AP23" i="1"/>
  <c r="Z23" i="1"/>
  <c r="AE23" i="1"/>
  <c r="N23" i="1"/>
  <c r="P23" i="1" s="1"/>
  <c r="H23" i="1"/>
  <c r="GR23" i="1"/>
  <c r="AN23" i="1" s="1"/>
  <c r="GJ23" i="1"/>
  <c r="GM22" i="1"/>
  <c r="GJ22" i="1"/>
  <c r="GH22" i="1" s="1"/>
  <c r="GD22" i="1"/>
  <c r="AX22" i="1"/>
  <c r="FX22" i="1"/>
  <c r="FS22" i="1"/>
  <c r="FR22" i="1"/>
  <c r="FL22" i="1"/>
  <c r="FN22" i="1" s="1"/>
  <c r="FE22" i="1"/>
  <c r="FC22" i="1"/>
  <c r="EN22" i="1"/>
  <c r="EU22" i="1" s="1"/>
  <c r="AZ22" i="1"/>
  <c r="DV22" i="1"/>
  <c r="BA22" i="1"/>
  <c r="DE22" i="1"/>
  <c r="DF22" i="1" s="1"/>
  <c r="CR22" i="1"/>
  <c r="AS22" i="1"/>
  <c r="CG22" i="1"/>
  <c r="FF22" i="1"/>
  <c r="FG22" i="1" s="1"/>
  <c r="BZ22" i="1"/>
  <c r="BJ22" i="1"/>
  <c r="BI22" i="1"/>
  <c r="BD22" i="1"/>
  <c r="BB22" i="1"/>
  <c r="N22" i="1"/>
  <c r="H22" i="1"/>
  <c r="GR22" i="1"/>
  <c r="I22" i="1"/>
  <c r="GX22" i="1"/>
  <c r="GX21" i="1"/>
  <c r="GR21" i="1"/>
  <c r="GP21" i="1" s="1"/>
  <c r="FZ21" i="1"/>
  <c r="FX21" i="1"/>
  <c r="FL21" i="1"/>
  <c r="FO21" i="1" s="1"/>
  <c r="FC21" i="1"/>
  <c r="EN21" i="1"/>
  <c r="EW21" i="1" s="1"/>
  <c r="BE21" i="1"/>
  <c r="AZ21" i="1"/>
  <c r="DV21" i="1"/>
  <c r="BB21" i="1"/>
  <c r="BA21" i="1"/>
  <c r="CR21" i="1"/>
  <c r="CO21" i="1"/>
  <c r="AQ21" i="1"/>
  <c r="CG21" i="1"/>
  <c r="FF21" i="1"/>
  <c r="FE21" i="1"/>
  <c r="FG21" i="1" s="1"/>
  <c r="BZ21" i="1"/>
  <c r="BJ21" i="1"/>
  <c r="BI21" i="1"/>
  <c r="BF21" i="1"/>
  <c r="BO21" i="1" s="1"/>
  <c r="BD21" i="1"/>
  <c r="AP21" i="1"/>
  <c r="AN21" i="1"/>
  <c r="GV21" i="1"/>
  <c r="GR20" i="1"/>
  <c r="GP20" i="1" s="1"/>
  <c r="GM20" i="1"/>
  <c r="FR20" i="1"/>
  <c r="FL20" i="1"/>
  <c r="FM20" i="1" s="1"/>
  <c r="FC20" i="1"/>
  <c r="BE20" i="1"/>
  <c r="BD20" i="1"/>
  <c r="DE20" i="1"/>
  <c r="DF20" i="1" s="1"/>
  <c r="CR20" i="1"/>
  <c r="CG20" i="1"/>
  <c r="FF20" i="1"/>
  <c r="FE20" i="1"/>
  <c r="BZ20" i="1"/>
  <c r="BJ20" i="1"/>
  <c r="BI20" i="1"/>
  <c r="BF20" i="1"/>
  <c r="BO20" i="1" s="1"/>
  <c r="AQ20" i="1"/>
  <c r="GV20" i="1"/>
  <c r="GT20" i="1" s="1"/>
  <c r="D20" i="1" s="1"/>
  <c r="Z20" i="1" s="1"/>
  <c r="GX19" i="1"/>
  <c r="GJ19" i="1"/>
  <c r="GH19" i="1" s="1"/>
  <c r="GM19" i="1"/>
  <c r="AX19" i="1"/>
  <c r="FL19" i="1"/>
  <c r="FO19" i="1" s="1"/>
  <c r="FC19" i="1"/>
  <c r="BF19" i="1"/>
  <c r="BO19" i="1" s="1"/>
  <c r="BE19" i="1"/>
  <c r="BD19" i="1"/>
  <c r="DV19" i="1"/>
  <c r="AZ19" i="1"/>
  <c r="DE19" i="1"/>
  <c r="DF19" i="1" s="1"/>
  <c r="CR19" i="1"/>
  <c r="FF19" i="1"/>
  <c r="FE19" i="1"/>
  <c r="FG19" i="1" s="1"/>
  <c r="BZ19" i="1"/>
  <c r="BJ19" i="1"/>
  <c r="BN19" i="1" s="1"/>
  <c r="BI19" i="1"/>
  <c r="BB19" i="1"/>
  <c r="BA19" i="1"/>
  <c r="AS19" i="1"/>
  <c r="N19" i="1"/>
  <c r="P19" i="1" s="1"/>
  <c r="I19" i="1"/>
  <c r="H19" i="1"/>
  <c r="GV19" i="1"/>
  <c r="FX18" i="1"/>
  <c r="FS18" i="1"/>
  <c r="FL18" i="1"/>
  <c r="FN18" i="1" s="1"/>
  <c r="FE18" i="1"/>
  <c r="FC18" i="1"/>
  <c r="BF18" i="1"/>
  <c r="BO18" i="1" s="1"/>
  <c r="GX18" i="1"/>
  <c r="DV18" i="1"/>
  <c r="AZ18" i="1"/>
  <c r="DE18" i="1"/>
  <c r="DF18" i="1" s="1"/>
  <c r="AX18" i="1"/>
  <c r="CR18" i="1"/>
  <c r="AQ18" i="1"/>
  <c r="AS18" i="1"/>
  <c r="CG18" i="1"/>
  <c r="FF18" i="1"/>
  <c r="BZ18" i="1"/>
  <c r="BJ18" i="1"/>
  <c r="BI18" i="1"/>
  <c r="BE18" i="1"/>
  <c r="BD18" i="1"/>
  <c r="BB18" i="1"/>
  <c r="BA18" i="1"/>
  <c r="N18" i="1"/>
  <c r="P18" i="1" s="1"/>
  <c r="GR18" i="1"/>
  <c r="AN18" i="1" s="1"/>
  <c r="GJ18" i="1"/>
  <c r="I18" i="1"/>
  <c r="H18" i="1"/>
  <c r="GX17" i="1"/>
  <c r="GV17" i="1"/>
  <c r="GT17" i="1" s="1"/>
  <c r="D17" i="1" s="1"/>
  <c r="GM17" i="1"/>
  <c r="AX17" i="1"/>
  <c r="FZ17" i="1"/>
  <c r="FX17" i="1"/>
  <c r="FR17" i="1"/>
  <c r="FL17" i="1"/>
  <c r="FN17" i="1" s="1"/>
  <c r="FE17" i="1"/>
  <c r="FC17" i="1"/>
  <c r="BE17" i="1"/>
  <c r="BD17" i="1"/>
  <c r="DV17" i="1"/>
  <c r="BB17" i="1"/>
  <c r="BA17" i="1"/>
  <c r="AZ17" i="1"/>
  <c r="DE17" i="1"/>
  <c r="DF17" i="1" s="1"/>
  <c r="CR17" i="1"/>
  <c r="CD17" i="1"/>
  <c r="FF17" i="1"/>
  <c r="BZ17" i="1"/>
  <c r="BJ17" i="1"/>
  <c r="BI17" i="1"/>
  <c r="BF17" i="1"/>
  <c r="BO17" i="1" s="1"/>
  <c r="AP17" i="1"/>
  <c r="N17" i="1"/>
  <c r="P17" i="1" s="1"/>
  <c r="H17" i="1"/>
  <c r="GJ17" i="1"/>
  <c r="GH17" i="1" s="1"/>
  <c r="FS17" i="1"/>
  <c r="GV16" i="1"/>
  <c r="GT16" i="1"/>
  <c r="D16" i="1" s="1"/>
  <c r="GM16" i="1"/>
  <c r="GJ16" i="1"/>
  <c r="GH16" i="1" s="1"/>
  <c r="FX16" i="1"/>
  <c r="FS16" i="1"/>
  <c r="FR16" i="1"/>
  <c r="FL16" i="1"/>
  <c r="FM16" i="1" s="1"/>
  <c r="FC16" i="1"/>
  <c r="BS16" i="1" s="1"/>
  <c r="BF16" i="1"/>
  <c r="BO16" i="1" s="1"/>
  <c r="BE16" i="1"/>
  <c r="DV16" i="1"/>
  <c r="DE16" i="1"/>
  <c r="DF16" i="1" s="1"/>
  <c r="AX16" i="1"/>
  <c r="CR16" i="1"/>
  <c r="AQ16" i="1"/>
  <c r="CG16" i="1"/>
  <c r="FF16" i="1"/>
  <c r="FE16" i="1"/>
  <c r="FG16" i="1" s="1"/>
  <c r="BZ16" i="1"/>
  <c r="BJ16" i="1"/>
  <c r="BI16" i="1"/>
  <c r="BD16" i="1"/>
  <c r="BB16" i="1"/>
  <c r="BA16" i="1"/>
  <c r="AZ16" i="1"/>
  <c r="N16" i="1"/>
  <c r="AD16" i="1" s="1"/>
  <c r="H16" i="1"/>
  <c r="AP16" i="1"/>
  <c r="I16" i="1"/>
  <c r="GX15" i="1"/>
  <c r="GV15" i="1"/>
  <c r="GT15" i="1" s="1"/>
  <c r="D15" i="1" s="1"/>
  <c r="AE15" i="1" s="1"/>
  <c r="GM15" i="1"/>
  <c r="AX15" i="1"/>
  <c r="FX15" i="1"/>
  <c r="FR15" i="1"/>
  <c r="FL15" i="1"/>
  <c r="FO15" i="1" s="1"/>
  <c r="FF15" i="1"/>
  <c r="FE15" i="1"/>
  <c r="FC15" i="1"/>
  <c r="BF15" i="1"/>
  <c r="BO15" i="1" s="1"/>
  <c r="BE15" i="1"/>
  <c r="BD15" i="1"/>
  <c r="DV15" i="1"/>
  <c r="BB15" i="1"/>
  <c r="BA15" i="1"/>
  <c r="AZ15" i="1"/>
  <c r="CR15" i="1"/>
  <c r="AQ15" i="1"/>
  <c r="CO15" i="1"/>
  <c r="CG15" i="1"/>
  <c r="BZ15" i="1"/>
  <c r="BJ15" i="1"/>
  <c r="BI15" i="1"/>
  <c r="AS15" i="1"/>
  <c r="AP15" i="1"/>
  <c r="I15" i="1"/>
  <c r="H15" i="1"/>
  <c r="GR15" i="1"/>
  <c r="AN15" i="1" s="1"/>
  <c r="GJ15" i="1"/>
  <c r="GH15" i="1" s="1"/>
  <c r="GM14" i="1"/>
  <c r="GJ14" i="1"/>
  <c r="GH14" i="1" s="1"/>
  <c r="FX14" i="1"/>
  <c r="FS14" i="1"/>
  <c r="FL14" i="1"/>
  <c r="FO14" i="1" s="1"/>
  <c r="FF14" i="1"/>
  <c r="FE14" i="1"/>
  <c r="FC14" i="1"/>
  <c r="DV14" i="1"/>
  <c r="BA14" i="1"/>
  <c r="DE14" i="1"/>
  <c r="DF14" i="1" s="1"/>
  <c r="CO14" i="1"/>
  <c r="AQ14" i="1"/>
  <c r="CG14" i="1"/>
  <c r="BZ14" i="1"/>
  <c r="BJ14" i="1"/>
  <c r="BI14" i="1"/>
  <c r="BF14" i="1"/>
  <c r="BO14" i="1" s="1"/>
  <c r="BE14" i="1"/>
  <c r="BN14" i="1" s="1"/>
  <c r="BB14" i="1"/>
  <c r="AZ14" i="1"/>
  <c r="N14" i="1"/>
  <c r="I14" i="1"/>
  <c r="AP14" i="1"/>
  <c r="GM13" i="1"/>
  <c r="GD13" i="1"/>
  <c r="BQ13" i="1" s="1"/>
  <c r="FX13" i="1"/>
  <c r="FS13" i="1"/>
  <c r="FL13" i="1"/>
  <c r="FF13" i="1"/>
  <c r="FC13" i="1"/>
  <c r="BS13" i="1" s="1"/>
  <c r="BF13" i="1"/>
  <c r="BO13" i="1" s="1"/>
  <c r="DV13" i="1"/>
  <c r="AZ13" i="1"/>
  <c r="CR13" i="1"/>
  <c r="AS13" i="1"/>
  <c r="CG13" i="1"/>
  <c r="CD13" i="1"/>
  <c r="FE13" i="1"/>
  <c r="BZ13" i="1"/>
  <c r="BJ13" i="1"/>
  <c r="BI13" i="1"/>
  <c r="BE13" i="1"/>
  <c r="BN13" i="1" s="1"/>
  <c r="BD13" i="1"/>
  <c r="AX13" i="1"/>
  <c r="N13" i="1"/>
  <c r="P13" i="1" s="1"/>
  <c r="BR13" i="1" s="1"/>
  <c r="H13" i="1"/>
  <c r="AP13" i="1"/>
  <c r="I13" i="1"/>
  <c r="GV13" i="1"/>
  <c r="GT13" i="1" s="1"/>
  <c r="D13" i="1" s="1"/>
  <c r="AE13" i="1" s="1"/>
  <c r="GR12" i="1"/>
  <c r="GP12" i="1" s="1"/>
  <c r="GM12" i="1"/>
  <c r="FZ12" i="1"/>
  <c r="FX12" i="1"/>
  <c r="FL12" i="1"/>
  <c r="FO12" i="1" s="1"/>
  <c r="FC12" i="1"/>
  <c r="BD12" i="1"/>
  <c r="DV12" i="1"/>
  <c r="BA12" i="1"/>
  <c r="AZ12" i="1"/>
  <c r="DE12" i="1"/>
  <c r="CO12" i="1"/>
  <c r="CG12" i="1"/>
  <c r="FF12" i="1"/>
  <c r="FE12" i="1"/>
  <c r="BZ12" i="1"/>
  <c r="BJ12" i="1"/>
  <c r="BI12" i="1"/>
  <c r="BF12" i="1"/>
  <c r="BO12" i="1" s="1"/>
  <c r="BE12" i="1"/>
  <c r="BB12" i="1"/>
  <c r="N12" i="1"/>
  <c r="GJ12" i="1"/>
  <c r="GH12" i="1" s="1"/>
  <c r="GR11" i="1"/>
  <c r="GP11" i="1" s="1"/>
  <c r="GJ11" i="1"/>
  <c r="GM11" i="1"/>
  <c r="GH11" i="1"/>
  <c r="FX11" i="1"/>
  <c r="FL11" i="1"/>
  <c r="FO11" i="1" s="1"/>
  <c r="FF11" i="1"/>
  <c r="FC11" i="1"/>
  <c r="EN11" i="1"/>
  <c r="BE11" i="1"/>
  <c r="BD11" i="1"/>
  <c r="GX11" i="1"/>
  <c r="DV11" i="1"/>
  <c r="BB11" i="1"/>
  <c r="BA11" i="1"/>
  <c r="FZ11" i="1"/>
  <c r="CR11" i="1"/>
  <c r="CG11" i="1"/>
  <c r="FE11" i="1"/>
  <c r="CD11" i="1"/>
  <c r="BZ11" i="1"/>
  <c r="BJ11" i="1"/>
  <c r="BI11" i="1"/>
  <c r="BF11" i="1"/>
  <c r="BO11" i="1" s="1"/>
  <c r="AZ11" i="1"/>
  <c r="AX11" i="1"/>
  <c r="AN11" i="1"/>
  <c r="N11" i="1"/>
  <c r="P11" i="1" s="1"/>
  <c r="AS11" i="1"/>
  <c r="I11" i="1"/>
  <c r="GV11" i="1"/>
  <c r="GV10" i="1"/>
  <c r="GT10" i="1" s="1"/>
  <c r="D10" i="1" s="1"/>
  <c r="Z10" i="1" s="1"/>
  <c r="GM10" i="1"/>
  <c r="FX10" i="1"/>
  <c r="FL10" i="1"/>
  <c r="FO10" i="1" s="1"/>
  <c r="FC10" i="1"/>
  <c r="BD10" i="1"/>
  <c r="DV10" i="1"/>
  <c r="BB10" i="1"/>
  <c r="BA10" i="1"/>
  <c r="AZ10" i="1"/>
  <c r="DE10" i="1"/>
  <c r="DF10" i="1" s="1"/>
  <c r="AX10" i="1"/>
  <c r="CR10" i="1"/>
  <c r="AS10" i="1"/>
  <c r="CG10" i="1"/>
  <c r="FF10" i="1"/>
  <c r="FE10" i="1"/>
  <c r="FG10" i="1" s="1"/>
  <c r="BZ10" i="1"/>
  <c r="BJ10" i="1"/>
  <c r="BI10" i="1"/>
  <c r="BF10" i="1"/>
  <c r="BO10" i="1" s="1"/>
  <c r="BE10" i="1"/>
  <c r="N10" i="1"/>
  <c r="P10" i="1" s="1"/>
  <c r="H10" i="1"/>
  <c r="CO10" i="1"/>
  <c r="CU10" i="1" s="1"/>
  <c r="GJ10" i="1"/>
  <c r="GH10" i="1" s="1"/>
  <c r="GJ9" i="1"/>
  <c r="GH9" i="1"/>
  <c r="FX9" i="1"/>
  <c r="FR9" i="1"/>
  <c r="FL9" i="1"/>
  <c r="FM9" i="1" s="1"/>
  <c r="FC9" i="1"/>
  <c r="BS9" i="1" s="1"/>
  <c r="EN9" i="1"/>
  <c r="EU9" i="1" s="1"/>
  <c r="BF9" i="1"/>
  <c r="BO9" i="1" s="1"/>
  <c r="BE9" i="1"/>
  <c r="GX9" i="1"/>
  <c r="DV9" i="1"/>
  <c r="DE9" i="1"/>
  <c r="DF9" i="1" s="1"/>
  <c r="CR9" i="1"/>
  <c r="CG9" i="1"/>
  <c r="FF9" i="1"/>
  <c r="FE9" i="1"/>
  <c r="BZ9" i="1"/>
  <c r="BJ9" i="1"/>
  <c r="BI9" i="1"/>
  <c r="BB9" i="1"/>
  <c r="BA9" i="1"/>
  <c r="AZ9" i="1"/>
  <c r="N9" i="1"/>
  <c r="AP9" i="1"/>
  <c r="H9" i="1"/>
  <c r="I9" i="1"/>
  <c r="GV9" i="1"/>
  <c r="GT9" i="1" s="1"/>
  <c r="D9" i="1" s="1"/>
  <c r="Z9" i="1" s="1"/>
  <c r="GV8" i="1"/>
  <c r="GM8" i="1"/>
  <c r="FX8" i="1"/>
  <c r="FL8" i="1"/>
  <c r="FN8" i="1" s="1"/>
  <c r="FE8" i="1"/>
  <c r="FC8" i="1"/>
  <c r="BE8" i="1"/>
  <c r="DV8" i="1"/>
  <c r="BB8" i="1"/>
  <c r="BA8" i="1"/>
  <c r="DE8" i="1"/>
  <c r="DF8" i="1" s="1"/>
  <c r="AX8" i="1"/>
  <c r="CR8" i="1"/>
  <c r="CG8" i="1"/>
  <c r="FF8" i="1"/>
  <c r="BZ8" i="1"/>
  <c r="BJ8" i="1"/>
  <c r="BI8" i="1"/>
  <c r="BF8" i="1"/>
  <c r="BO8" i="1" s="1"/>
  <c r="BD8" i="1"/>
  <c r="AZ8" i="1"/>
  <c r="I8" i="1"/>
  <c r="GJ8" i="1"/>
  <c r="GH8" i="1" s="1"/>
  <c r="FS8" i="1"/>
  <c r="H8" i="1"/>
  <c r="GV7" i="1"/>
  <c r="GT7" i="1"/>
  <c r="D7" i="1" s="1"/>
  <c r="GR7" i="1"/>
  <c r="AN7" i="1" s="1"/>
  <c r="GM7" i="1"/>
  <c r="FR7" i="1"/>
  <c r="FS7" i="1"/>
  <c r="FL7" i="1"/>
  <c r="FO7" i="1" s="1"/>
  <c r="FC7" i="1"/>
  <c r="BS7" i="1" s="1"/>
  <c r="DV7" i="1"/>
  <c r="BB7" i="1"/>
  <c r="BA7" i="1"/>
  <c r="AZ7" i="1"/>
  <c r="DE7" i="1"/>
  <c r="DF7" i="1" s="1"/>
  <c r="CR7" i="1"/>
  <c r="CG7" i="1"/>
  <c r="FF7" i="1"/>
  <c r="FE7" i="1"/>
  <c r="BZ7" i="1"/>
  <c r="BJ7" i="1"/>
  <c r="BI7" i="1"/>
  <c r="BF7" i="1"/>
  <c r="BO7" i="1" s="1"/>
  <c r="BE7" i="1"/>
  <c r="BD7" i="1"/>
  <c r="BM7" i="1" s="1"/>
  <c r="AS7" i="1"/>
  <c r="N7" i="1"/>
  <c r="P7" i="1" s="1"/>
  <c r="H7" i="1"/>
  <c r="GJ7" i="1"/>
  <c r="I7" i="1"/>
  <c r="GX7" i="1"/>
  <c r="FX6" i="1"/>
  <c r="FR6" i="1"/>
  <c r="FL6" i="1"/>
  <c r="FO6" i="1" s="1"/>
  <c r="FC6" i="1"/>
  <c r="EN6" i="1"/>
  <c r="EQ6" i="1" s="1"/>
  <c r="BF6" i="1"/>
  <c r="BO6" i="1" s="1"/>
  <c r="BE6" i="1"/>
  <c r="BD6" i="1"/>
  <c r="GX6" i="1"/>
  <c r="DV6" i="1"/>
  <c r="DE6" i="1"/>
  <c r="DF6" i="1" s="1"/>
  <c r="CR6" i="1"/>
  <c r="AS6" i="1"/>
  <c r="CG6" i="1"/>
  <c r="FF6" i="1"/>
  <c r="FE6" i="1"/>
  <c r="BZ6" i="1"/>
  <c r="BJ6" i="1"/>
  <c r="BI6" i="1"/>
  <c r="AP6" i="1"/>
  <c r="GJ6" i="1"/>
  <c r="GH6" i="1" s="1"/>
  <c r="I6" i="1"/>
  <c r="GV6" i="1"/>
  <c r="GX5" i="1"/>
  <c r="GU48" i="1"/>
  <c r="GQ48" i="1"/>
  <c r="FR5" i="1"/>
  <c r="FL5" i="1"/>
  <c r="FN5" i="1" s="1"/>
  <c r="FB48" i="1"/>
  <c r="FA48" i="1"/>
  <c r="EM48" i="1"/>
  <c r="EI48" i="1"/>
  <c r="EG48" i="1"/>
  <c r="EB48" i="1"/>
  <c r="DV5" i="1"/>
  <c r="DT48" i="1"/>
  <c r="DS48" i="1"/>
  <c r="DE5" i="1"/>
  <c r="CY48" i="1"/>
  <c r="CT48" i="1"/>
  <c r="CS48" i="1"/>
  <c r="CQ48" i="1"/>
  <c r="CM48" i="1"/>
  <c r="CC48" i="1"/>
  <c r="BJ5" i="1"/>
  <c r="BI5" i="1"/>
  <c r="BF5" i="1"/>
  <c r="BO5" i="1" s="1"/>
  <c r="BA5" i="1"/>
  <c r="AP5" i="1"/>
  <c r="W48" i="1"/>
  <c r="U48" i="1"/>
  <c r="Q48" i="1"/>
  <c r="K48" i="1"/>
  <c r="G48" i="1"/>
  <c r="F48" i="1"/>
  <c r="GV5" i="1"/>
  <c r="FO5" i="1" l="1"/>
  <c r="FO36" i="1"/>
  <c r="BM41" i="1"/>
  <c r="BN44" i="1"/>
  <c r="FN46" i="1"/>
  <c r="FO46" i="1"/>
  <c r="FG37" i="1"/>
  <c r="FM29" i="1"/>
  <c r="FP29" i="1" s="1"/>
  <c r="FN16" i="1"/>
  <c r="Z31" i="1"/>
  <c r="FO16" i="1"/>
  <c r="FP16" i="1" s="1"/>
  <c r="BN26" i="1"/>
  <c r="AA31" i="1"/>
  <c r="BM38" i="1"/>
  <c r="FG24" i="1"/>
  <c r="BN28" i="1"/>
  <c r="BM43" i="1"/>
  <c r="BM10" i="1"/>
  <c r="FG13" i="1"/>
  <c r="CU15" i="1"/>
  <c r="BM27" i="1"/>
  <c r="FT35" i="1"/>
  <c r="BU35" i="1" s="1"/>
  <c r="BV35" i="1" s="1"/>
  <c r="FG12" i="1"/>
  <c r="P24" i="1"/>
  <c r="AE47" i="1"/>
  <c r="Z47" i="1"/>
  <c r="FN29" i="1"/>
  <c r="BM36" i="1"/>
  <c r="FO39" i="1"/>
  <c r="FP39" i="1" s="1"/>
  <c r="FN28" i="1"/>
  <c r="BM32" i="1"/>
  <c r="FG40" i="1"/>
  <c r="BT40" i="1" s="1"/>
  <c r="BM20" i="1"/>
  <c r="BN21" i="1"/>
  <c r="GP26" i="1"/>
  <c r="FN38" i="1"/>
  <c r="BM42" i="1"/>
  <c r="BN20" i="1"/>
  <c r="FG31" i="1"/>
  <c r="BT31" i="1" s="1"/>
  <c r="BM58" i="1"/>
  <c r="GP18" i="1"/>
  <c r="FM15" i="1"/>
  <c r="BM16" i="1"/>
  <c r="BN34" i="1"/>
  <c r="BM35" i="1"/>
  <c r="FM37" i="1"/>
  <c r="FG44" i="1"/>
  <c r="FM44" i="1"/>
  <c r="BM17" i="1"/>
  <c r="FN20" i="1"/>
  <c r="FO22" i="1"/>
  <c r="FO44" i="1"/>
  <c r="FO45" i="1"/>
  <c r="BM6" i="1"/>
  <c r="BM11" i="1"/>
  <c r="BN17" i="1"/>
  <c r="FO20" i="1"/>
  <c r="CU25" i="1"/>
  <c r="FM42" i="1"/>
  <c r="BN6" i="1"/>
  <c r="BN11" i="1"/>
  <c r="FM33" i="1"/>
  <c r="FN42" i="1"/>
  <c r="FN7" i="1"/>
  <c r="GP15" i="1"/>
  <c r="FO17" i="1"/>
  <c r="BM28" i="1"/>
  <c r="FO35" i="1"/>
  <c r="FM8" i="1"/>
  <c r="FO9" i="1"/>
  <c r="BN41" i="1"/>
  <c r="FO8" i="1"/>
  <c r="FN23" i="1"/>
  <c r="BN29" i="1"/>
  <c r="BM31" i="1"/>
  <c r="GH34" i="1"/>
  <c r="FM5" i="1"/>
  <c r="FP5" i="1" s="1"/>
  <c r="BM15" i="1"/>
  <c r="FT23" i="1"/>
  <c r="BU23" i="1" s="1"/>
  <c r="BV23" i="1" s="1"/>
  <c r="FG35" i="1"/>
  <c r="AA17" i="1"/>
  <c r="AE17" i="1"/>
  <c r="Z37" i="1"/>
  <c r="AA37" i="1"/>
  <c r="FM58" i="1"/>
  <c r="FM10" i="1"/>
  <c r="FM14" i="1"/>
  <c r="BN15" i="1"/>
  <c r="FN27" i="1"/>
  <c r="FG39" i="1"/>
  <c r="FN58" i="1"/>
  <c r="FM27" i="1"/>
  <c r="FN10" i="1"/>
  <c r="FN14" i="1"/>
  <c r="BN23" i="1"/>
  <c r="FG28" i="1"/>
  <c r="BT28" i="1" s="1"/>
  <c r="GP31" i="1"/>
  <c r="CU32" i="1"/>
  <c r="FM32" i="1"/>
  <c r="GP37" i="1"/>
  <c r="CU45" i="1"/>
  <c r="FG15" i="1"/>
  <c r="BT15" i="1" s="1"/>
  <c r="BM21" i="1"/>
  <c r="BM30" i="1"/>
  <c r="P31" i="1"/>
  <c r="BM34" i="1"/>
  <c r="BM44" i="1"/>
  <c r="AH45" i="1"/>
  <c r="BJ48" i="1"/>
  <c r="FP23" i="1"/>
  <c r="BN30" i="1"/>
  <c r="FG41" i="1"/>
  <c r="AA43" i="1"/>
  <c r="FG11" i="1"/>
  <c r="BT11" i="1" s="1"/>
  <c r="P16" i="1"/>
  <c r="AH16" i="1" s="1"/>
  <c r="AN20" i="1"/>
  <c r="FM23" i="1"/>
  <c r="BN36" i="1"/>
  <c r="BN42" i="1"/>
  <c r="AA47" i="1"/>
  <c r="FN47" i="1"/>
  <c r="BN7" i="1"/>
  <c r="FN15" i="1"/>
  <c r="FP15" i="1" s="1"/>
  <c r="BM18" i="1"/>
  <c r="EQ21" i="1"/>
  <c r="BM24" i="1"/>
  <c r="Z25" i="1"/>
  <c r="FN30" i="1"/>
  <c r="BN31" i="1"/>
  <c r="FM34" i="1"/>
  <c r="AD39" i="1"/>
  <c r="FG32" i="1"/>
  <c r="BM8" i="1"/>
  <c r="BN8" i="1"/>
  <c r="BN9" i="1"/>
  <c r="BN18" i="1"/>
  <c r="ER21" i="1"/>
  <c r="BN24" i="1"/>
  <c r="AA25" i="1"/>
  <c r="FO30" i="1"/>
  <c r="FN34" i="1"/>
  <c r="FM36" i="1"/>
  <c r="FP36" i="1" s="1"/>
  <c r="FG43" i="1"/>
  <c r="BN16" i="1"/>
  <c r="BM19" i="1"/>
  <c r="BM22" i="1"/>
  <c r="AI25" i="1"/>
  <c r="FG34" i="1"/>
  <c r="BN45" i="1"/>
  <c r="FM6" i="1"/>
  <c r="FM19" i="1"/>
  <c r="BM26" i="1"/>
  <c r="BN37" i="1"/>
  <c r="AN38" i="1"/>
  <c r="BM45" i="1"/>
  <c r="BM47" i="1"/>
  <c r="AA15" i="1"/>
  <c r="FN19" i="1"/>
  <c r="BM33" i="1"/>
  <c r="BN47" i="1"/>
  <c r="BB58" i="1"/>
  <c r="FN6" i="1"/>
  <c r="FP8" i="1"/>
  <c r="FN9" i="1"/>
  <c r="FP9" i="1" s="1"/>
  <c r="BM13" i="1"/>
  <c r="FG14" i="1"/>
  <c r="FM22" i="1"/>
  <c r="FP22" i="1" s="1"/>
  <c r="FN24" i="1"/>
  <c r="BN25" i="1"/>
  <c r="FG27" i="1"/>
  <c r="BT27" i="1" s="1"/>
  <c r="BN32" i="1"/>
  <c r="BN33" i="1"/>
  <c r="AM34" i="1"/>
  <c r="FM35" i="1"/>
  <c r="FG42" i="1"/>
  <c r="CU43" i="1"/>
  <c r="FG47" i="1"/>
  <c r="DV58" i="1"/>
  <c r="BR58" i="1"/>
  <c r="CL28" i="1"/>
  <c r="Z58" i="1"/>
  <c r="FG58" i="1"/>
  <c r="DE58" i="1"/>
  <c r="DF58" i="1" s="1"/>
  <c r="FC58" i="1"/>
  <c r="BE58" i="1"/>
  <c r="BN58" i="1" s="1"/>
  <c r="AP58" i="1"/>
  <c r="BF58" i="1"/>
  <c r="BO58" i="1" s="1"/>
  <c r="CL11" i="1"/>
  <c r="AR11" i="1" s="1"/>
  <c r="I58" i="1"/>
  <c r="AS58" i="1"/>
  <c r="FR58" i="1"/>
  <c r="FX58" i="1"/>
  <c r="AT32" i="1"/>
  <c r="AZ58" i="1"/>
  <c r="BA58" i="1"/>
  <c r="AT15" i="1"/>
  <c r="FT16" i="1"/>
  <c r="FT39" i="1"/>
  <c r="BU39" i="1" s="1"/>
  <c r="BV39" i="1" s="1"/>
  <c r="BS31" i="1"/>
  <c r="ES6" i="1"/>
  <c r="EV31" i="1"/>
  <c r="EU6" i="1"/>
  <c r="EW6" i="1"/>
  <c r="BM37" i="1"/>
  <c r="ES21" i="1"/>
  <c r="EQ22" i="1"/>
  <c r="ER9" i="1"/>
  <c r="EV21" i="1"/>
  <c r="ER22" i="1"/>
  <c r="ES9" i="1"/>
  <c r="EP6" i="1"/>
  <c r="ET9" i="1"/>
  <c r="FZ18" i="1"/>
  <c r="FZ23" i="1"/>
  <c r="FZ34" i="1"/>
  <c r="BT35" i="1"/>
  <c r="FZ19" i="1"/>
  <c r="FZ25" i="1"/>
  <c r="BT24" i="1"/>
  <c r="FZ30" i="1"/>
  <c r="AX36" i="1"/>
  <c r="FZ13" i="1"/>
  <c r="FZ27" i="1"/>
  <c r="AX38" i="1"/>
  <c r="FZ46" i="1"/>
  <c r="FZ42" i="1"/>
  <c r="FZ24" i="1"/>
  <c r="FZ7" i="1"/>
  <c r="FZ10" i="1"/>
  <c r="FZ31" i="1"/>
  <c r="FZ43" i="1"/>
  <c r="FZ32" i="1"/>
  <c r="CL40" i="1"/>
  <c r="AR40" i="1" s="1"/>
  <c r="AD25" i="1"/>
  <c r="BR25" i="1"/>
  <c r="AD32" i="1"/>
  <c r="AB13" i="1"/>
  <c r="AB12" i="1"/>
  <c r="GD46" i="1"/>
  <c r="BQ46" i="1" s="1"/>
  <c r="AL7" i="1"/>
  <c r="GN7" i="1"/>
  <c r="AM7" i="1" s="1"/>
  <c r="FG7" i="1"/>
  <c r="GT6" i="1"/>
  <c r="D6" i="1" s="1"/>
  <c r="AE6" i="1" s="1"/>
  <c r="R11" i="1"/>
  <c r="AH11" i="1"/>
  <c r="BR11" i="1"/>
  <c r="AL5" i="1"/>
  <c r="GD5" i="1"/>
  <c r="BQ5" i="1" s="1"/>
  <c r="FZ6" i="1"/>
  <c r="AX6" i="1"/>
  <c r="GH7" i="1"/>
  <c r="FT7" i="1"/>
  <c r="BU7" i="1" s="1"/>
  <c r="BV7" i="1" s="1"/>
  <c r="AQ7" i="1"/>
  <c r="CO7" i="1"/>
  <c r="CU7" i="1" s="1"/>
  <c r="AT7" i="1" s="1"/>
  <c r="FG6" i="1"/>
  <c r="BT6" i="1" s="1"/>
  <c r="BS18" i="1"/>
  <c r="BS8" i="1"/>
  <c r="BS6" i="1"/>
  <c r="AA7" i="1"/>
  <c r="Z7" i="1"/>
  <c r="FP6" i="1"/>
  <c r="R7" i="1"/>
  <c r="AH7" i="1"/>
  <c r="BR7" i="1"/>
  <c r="FZ8" i="1"/>
  <c r="AE7" i="1"/>
  <c r="BT7" i="1"/>
  <c r="AX7" i="1"/>
  <c r="GT5" i="1"/>
  <c r="R18" i="1"/>
  <c r="AH18" i="1"/>
  <c r="AL9" i="1"/>
  <c r="GN9" i="1"/>
  <c r="EN10" i="1"/>
  <c r="ET10" i="1" s="1"/>
  <c r="FO13" i="1"/>
  <c r="FN13" i="1"/>
  <c r="AX14" i="1"/>
  <c r="FZ14" i="1"/>
  <c r="R17" i="1"/>
  <c r="AH17" i="1"/>
  <c r="BR17" i="1"/>
  <c r="AP19" i="1"/>
  <c r="GR19" i="1"/>
  <c r="AQ19" i="1"/>
  <c r="EN25" i="1"/>
  <c r="ET25" i="1" s="1"/>
  <c r="E48" i="1"/>
  <c r="BI48" i="1"/>
  <c r="CB48" i="1"/>
  <c r="CR5" i="1"/>
  <c r="DJ48" i="1"/>
  <c r="EH48" i="1"/>
  <c r="GR5" i="1"/>
  <c r="GP5" i="1" s="1"/>
  <c r="GP7" i="1"/>
  <c r="FG9" i="1"/>
  <c r="BT9" i="1" s="1"/>
  <c r="GT11" i="1"/>
  <c r="D11" i="1" s="1"/>
  <c r="AA11" i="1" s="1"/>
  <c r="GD12" i="1"/>
  <c r="BQ12" i="1" s="1"/>
  <c r="CD12" i="1"/>
  <c r="CL12" i="1" s="1"/>
  <c r="AR12" i="1" s="1"/>
  <c r="FM13" i="1"/>
  <c r="CD14" i="1"/>
  <c r="CL14" i="1" s="1"/>
  <c r="AR14" i="1" s="1"/>
  <c r="N15" i="1"/>
  <c r="AD15" i="1" s="1"/>
  <c r="BS15" i="1"/>
  <c r="AC16" i="1"/>
  <c r="CG19" i="1"/>
  <c r="BT19" i="1"/>
  <c r="BS19" i="1"/>
  <c r="CD5" i="1"/>
  <c r="EX11" i="1"/>
  <c r="EV11" i="1"/>
  <c r="DF12" i="1"/>
  <c r="AD18" i="1"/>
  <c r="AC18" i="1"/>
  <c r="AB18" i="1"/>
  <c r="H5" i="1"/>
  <c r="CE48" i="1"/>
  <c r="DR48" i="1"/>
  <c r="EK48" i="1"/>
  <c r="FC5" i="1"/>
  <c r="GA48" i="1"/>
  <c r="AZ6" i="1"/>
  <c r="AP7" i="1"/>
  <c r="FX7" i="1"/>
  <c r="N8" i="1"/>
  <c r="AC8" i="1" s="1"/>
  <c r="BD9" i="1"/>
  <c r="BM9" i="1" s="1"/>
  <c r="FM11" i="1"/>
  <c r="FS12" i="1"/>
  <c r="I12" i="1"/>
  <c r="AP12" i="1"/>
  <c r="BT12" i="1"/>
  <c r="BS12" i="1"/>
  <c r="AC13" i="1"/>
  <c r="R16" i="1"/>
  <c r="BT16" i="1"/>
  <c r="H20" i="1"/>
  <c r="GJ20" i="1"/>
  <c r="GH20" i="1" s="1"/>
  <c r="EX24" i="1"/>
  <c r="EW24" i="1"/>
  <c r="ES24" i="1"/>
  <c r="EP24" i="1"/>
  <c r="ER24" i="1"/>
  <c r="ER6" i="1"/>
  <c r="GM9" i="1"/>
  <c r="I5" i="1"/>
  <c r="AS5" i="1"/>
  <c r="EL48" i="1"/>
  <c r="FE5" i="1"/>
  <c r="BA6" i="1"/>
  <c r="ET6" i="1"/>
  <c r="CD7" i="1"/>
  <c r="CL7" i="1" s="1"/>
  <c r="AR7" i="1" s="1"/>
  <c r="FN11" i="1"/>
  <c r="AD13" i="1"/>
  <c r="P14" i="1"/>
  <c r="BR14" i="1" s="1"/>
  <c r="AB14" i="1"/>
  <c r="BT14" i="1"/>
  <c r="BS14" i="1"/>
  <c r="AS16" i="1"/>
  <c r="EN16" i="1"/>
  <c r="EP16" i="1" s="1"/>
  <c r="BR18" i="1"/>
  <c r="EQ24" i="1"/>
  <c r="GM6" i="1"/>
  <c r="AE9" i="1"/>
  <c r="AD9" i="1"/>
  <c r="AC9" i="1"/>
  <c r="AB9" i="1"/>
  <c r="GR10" i="1"/>
  <c r="AE16" i="1"/>
  <c r="Z16" i="1"/>
  <c r="R19" i="1"/>
  <c r="AH19" i="1"/>
  <c r="FX19" i="1"/>
  <c r="FS20" i="1"/>
  <c r="FT20" i="1" s="1"/>
  <c r="BU20" i="1" s="1"/>
  <c r="BV20" i="1" s="1"/>
  <c r="I20" i="1"/>
  <c r="AP20" i="1"/>
  <c r="CF48" i="1"/>
  <c r="BB6" i="1"/>
  <c r="AQ6" i="1"/>
  <c r="CO6" i="1"/>
  <c r="CU6" i="1" s="1"/>
  <c r="FS6" i="1"/>
  <c r="FT6" i="1" s="1"/>
  <c r="BU6" i="1" s="1"/>
  <c r="BV6" i="1" s="1"/>
  <c r="P9" i="1"/>
  <c r="FS10" i="1"/>
  <c r="I10" i="1"/>
  <c r="AT10" i="1"/>
  <c r="ET11" i="1"/>
  <c r="BM12" i="1"/>
  <c r="CL13" i="1"/>
  <c r="AR13" i="1" s="1"/>
  <c r="BB13" i="1"/>
  <c r="CO16" i="1"/>
  <c r="CU16" i="1" s="1"/>
  <c r="AT16" i="1" s="1"/>
  <c r="CO18" i="1"/>
  <c r="CU18" i="1" s="1"/>
  <c r="AT18" i="1" s="1"/>
  <c r="N28" i="1"/>
  <c r="FX5" i="1"/>
  <c r="N6" i="1"/>
  <c r="AD6" i="1" s="1"/>
  <c r="AN12" i="1"/>
  <c r="EN18" i="1"/>
  <c r="EP18" i="1" s="1"/>
  <c r="CG5" i="1"/>
  <c r="GE48" i="1"/>
  <c r="EV6" i="1"/>
  <c r="M48" i="1"/>
  <c r="CI48" i="1"/>
  <c r="DA48" i="1"/>
  <c r="DW48" i="1"/>
  <c r="FL48" i="1"/>
  <c r="AB7" i="1"/>
  <c r="GD7" i="1"/>
  <c r="BQ7" i="1" s="1"/>
  <c r="AP10" i="1"/>
  <c r="BS11" i="1"/>
  <c r="EU11" i="1"/>
  <c r="P12" i="1"/>
  <c r="AD12" i="1"/>
  <c r="AC12" i="1"/>
  <c r="FR12" i="1"/>
  <c r="EN13" i="1"/>
  <c r="EV13" i="1" s="1"/>
  <c r="AL13" i="1"/>
  <c r="BD14" i="1"/>
  <c r="BM14" i="1" s="1"/>
  <c r="EN14" i="1"/>
  <c r="EQ14" i="1" s="1"/>
  <c r="BU16" i="1"/>
  <c r="BV16" i="1" s="1"/>
  <c r="Z17" i="1"/>
  <c r="R23" i="1"/>
  <c r="AH23" i="1"/>
  <c r="FF5" i="1"/>
  <c r="L48" i="1"/>
  <c r="CZ48" i="1"/>
  <c r="EN5" i="1"/>
  <c r="EU5" i="1" s="1"/>
  <c r="N5" i="1"/>
  <c r="AD5" i="1" s="1"/>
  <c r="DB48" i="1"/>
  <c r="DX48" i="1"/>
  <c r="EX6" i="1"/>
  <c r="AC7" i="1"/>
  <c r="EN7" i="1"/>
  <c r="AQ10" i="1"/>
  <c r="BT10" i="1"/>
  <c r="BS10" i="1"/>
  <c r="AD11" i="1"/>
  <c r="BN12" i="1"/>
  <c r="EN12" i="1"/>
  <c r="ES12" i="1" s="1"/>
  <c r="Z13" i="1"/>
  <c r="DE13" i="1"/>
  <c r="DF13" i="1" s="1"/>
  <c r="AL17" i="1"/>
  <c r="GN17" i="1"/>
  <c r="AM17" i="1" s="1"/>
  <c r="AN22" i="1"/>
  <c r="GP22" i="1"/>
  <c r="DC48" i="1"/>
  <c r="GI48" i="1"/>
  <c r="AD7" i="1"/>
  <c r="AP8" i="1"/>
  <c r="AS9" i="1"/>
  <c r="CO9" i="1"/>
  <c r="CU9" i="1" s="1"/>
  <c r="AT9" i="1" s="1"/>
  <c r="EQ9" i="1"/>
  <c r="EP9" i="1"/>
  <c r="EX9" i="1"/>
  <c r="EW11" i="1"/>
  <c r="AA13" i="1"/>
  <c r="GX13" i="1"/>
  <c r="BA13" i="1"/>
  <c r="Z15" i="1"/>
  <c r="BS17" i="1"/>
  <c r="GH18" i="1"/>
  <c r="GM18" i="1"/>
  <c r="AC11" i="1"/>
  <c r="AB11" i="1"/>
  <c r="EJ48" i="1"/>
  <c r="BR16" i="1"/>
  <c r="O48" i="1"/>
  <c r="DZ48" i="1"/>
  <c r="GR6" i="1"/>
  <c r="AN6" i="1" s="1"/>
  <c r="AZ5" i="1"/>
  <c r="DD48" i="1"/>
  <c r="EA48" i="1"/>
  <c r="GJ5" i="1"/>
  <c r="FM7" i="1"/>
  <c r="FP7" i="1" s="1"/>
  <c r="GT8" i="1"/>
  <c r="D8" i="1" s="1"/>
  <c r="AE8" i="1" s="1"/>
  <c r="AQ9" i="1"/>
  <c r="GD11" i="1"/>
  <c r="BQ11" i="1" s="1"/>
  <c r="AL11" i="1"/>
  <c r="GN11" i="1"/>
  <c r="AM11" i="1" s="1"/>
  <c r="AQ12" i="1"/>
  <c r="GR17" i="1"/>
  <c r="AN17" i="1" s="1"/>
  <c r="FG17" i="1"/>
  <c r="BT17" i="1" s="1"/>
  <c r="AX20" i="1"/>
  <c r="FZ20" i="1"/>
  <c r="P22" i="1"/>
  <c r="BR22" i="1" s="1"/>
  <c r="AD22" i="1"/>
  <c r="AC22" i="1"/>
  <c r="AB22" i="1"/>
  <c r="GX12" i="1"/>
  <c r="GV12" i="1"/>
  <c r="GT12" i="1" s="1"/>
  <c r="D12" i="1" s="1"/>
  <c r="H12" i="1"/>
  <c r="R10" i="1"/>
  <c r="AH10" i="1"/>
  <c r="AS12" i="1"/>
  <c r="AQ27" i="1"/>
  <c r="CO27" i="1"/>
  <c r="CU27" i="1" s="1"/>
  <c r="AT27" i="1" s="1"/>
  <c r="BB5" i="1"/>
  <c r="BX48" i="1"/>
  <c r="DF5" i="1"/>
  <c r="EC48" i="1"/>
  <c r="GM5" i="1"/>
  <c r="H6" i="1"/>
  <c r="AS8" i="1"/>
  <c r="GX8" i="1"/>
  <c r="AQ11" i="1"/>
  <c r="CO11" i="1"/>
  <c r="CU11" i="1" s="1"/>
  <c r="AT11" i="1" s="1"/>
  <c r="EQ11" i="1"/>
  <c r="BT13" i="1"/>
  <c r="AS14" i="1"/>
  <c r="CR14" i="1"/>
  <c r="CU14" i="1" s="1"/>
  <c r="AT14" i="1" s="1"/>
  <c r="FR14" i="1"/>
  <c r="FZ15" i="1"/>
  <c r="I17" i="1"/>
  <c r="AS17" i="1"/>
  <c r="CG17" i="1"/>
  <c r="CL17" i="1" s="1"/>
  <c r="AR17" i="1" s="1"/>
  <c r="DE26" i="1"/>
  <c r="DF26" i="1" s="1"/>
  <c r="AC27" i="1"/>
  <c r="AB27" i="1"/>
  <c r="P27" i="1"/>
  <c r="FG8" i="1"/>
  <c r="BT8" i="1" s="1"/>
  <c r="AX12" i="1"/>
  <c r="R13" i="1"/>
  <c r="AH13" i="1"/>
  <c r="BY48" i="1"/>
  <c r="EE48" i="1"/>
  <c r="FS5" i="1"/>
  <c r="GR8" i="1"/>
  <c r="AN8" i="1" s="1"/>
  <c r="AQ8" i="1"/>
  <c r="EV9" i="1"/>
  <c r="AE10" i="1"/>
  <c r="BN10" i="1"/>
  <c r="FR10" i="1"/>
  <c r="DE11" i="1"/>
  <c r="DF11" i="1" s="1"/>
  <c r="ER11" i="1"/>
  <c r="CR12" i="1"/>
  <c r="CU12" i="1" s="1"/>
  <c r="AT12" i="1" s="1"/>
  <c r="EN15" i="1"/>
  <c r="EP15" i="1" s="1"/>
  <c r="AA16" i="1"/>
  <c r="FZ16" i="1"/>
  <c r="FT17" i="1"/>
  <c r="BU17" i="1" s="1"/>
  <c r="BV17" i="1" s="1"/>
  <c r="BT26" i="1"/>
  <c r="EP11" i="1"/>
  <c r="CD15" i="1"/>
  <c r="CL15" i="1" s="1"/>
  <c r="AR15" i="1" s="1"/>
  <c r="S48" i="1"/>
  <c r="BD5" i="1"/>
  <c r="BM5" i="1" s="1"/>
  <c r="T48" i="1"/>
  <c r="BE5" i="1"/>
  <c r="BN5" i="1" s="1"/>
  <c r="BZ5" i="1"/>
  <c r="CP48" i="1"/>
  <c r="DI48" i="1"/>
  <c r="EF48" i="1"/>
  <c r="AX9" i="1"/>
  <c r="FZ9" i="1"/>
  <c r="EW9" i="1"/>
  <c r="GD9" i="1"/>
  <c r="BQ9" i="1" s="1"/>
  <c r="BR10" i="1"/>
  <c r="ES11" i="1"/>
  <c r="GX14" i="1"/>
  <c r="GV14" i="1"/>
  <c r="GT14" i="1" s="1"/>
  <c r="D14" i="1" s="1"/>
  <c r="H14" i="1"/>
  <c r="DE15" i="1"/>
  <c r="DF15" i="1" s="1"/>
  <c r="FG18" i="1"/>
  <c r="BT18" i="1" s="1"/>
  <c r="N21" i="1"/>
  <c r="EN8" i="1"/>
  <c r="ER8" i="1" s="1"/>
  <c r="FS9" i="1"/>
  <c r="FT9" i="1" s="1"/>
  <c r="BU9" i="1" s="1"/>
  <c r="BV9" i="1" s="1"/>
  <c r="AA10" i="1"/>
  <c r="GX10" i="1"/>
  <c r="GR14" i="1"/>
  <c r="AN14" i="1" s="1"/>
  <c r="AB17" i="1"/>
  <c r="GD17" i="1"/>
  <c r="BQ17" i="1" s="1"/>
  <c r="N20" i="1"/>
  <c r="P20" i="1" s="1"/>
  <c r="BR20" i="1" s="1"/>
  <c r="BB20" i="1"/>
  <c r="FG38" i="1"/>
  <c r="BT38" i="1" s="1"/>
  <c r="AB10" i="1"/>
  <c r="FR11" i="1"/>
  <c r="GJ13" i="1"/>
  <c r="GH13" i="1" s="1"/>
  <c r="AC17" i="1"/>
  <c r="EN17" i="1"/>
  <c r="ET17" i="1" s="1"/>
  <c r="FO18" i="1"/>
  <c r="FM18" i="1"/>
  <c r="AA20" i="1"/>
  <c r="FG20" i="1"/>
  <c r="BT20" i="1" s="1"/>
  <c r="AS21" i="1"/>
  <c r="BR23" i="1"/>
  <c r="AD27" i="1"/>
  <c r="BQ28" i="1"/>
  <c r="AC10" i="1"/>
  <c r="FS11" i="1"/>
  <c r="GR16" i="1"/>
  <c r="AN16" i="1" s="1"/>
  <c r="AD17" i="1"/>
  <c r="DV20" i="1"/>
  <c r="GX20" i="1"/>
  <c r="GM21" i="1"/>
  <c r="EV22" i="1"/>
  <c r="ET22" i="1"/>
  <c r="ES22" i="1"/>
  <c r="R24" i="1"/>
  <c r="AH24" i="1"/>
  <c r="ET24" i="1"/>
  <c r="FZ26" i="1"/>
  <c r="GR9" i="1"/>
  <c r="AN9" i="1" s="1"/>
  <c r="AD10" i="1"/>
  <c r="AQ13" i="1"/>
  <c r="FR13" i="1"/>
  <c r="FM17" i="1"/>
  <c r="AD19" i="1"/>
  <c r="AC19" i="1"/>
  <c r="AB19" i="1"/>
  <c r="AE20" i="1"/>
  <c r="CU21" i="1"/>
  <c r="AT21" i="1" s="1"/>
  <c r="GN22" i="1"/>
  <c r="AM22" i="1" s="1"/>
  <c r="AL22" i="1"/>
  <c r="EX22" i="1"/>
  <c r="GP23" i="1"/>
  <c r="BR24" i="1"/>
  <c r="EU24" i="1"/>
  <c r="CD26" i="1"/>
  <c r="CL26" i="1" s="1"/>
  <c r="AR26" i="1" s="1"/>
  <c r="GN28" i="1"/>
  <c r="AL28" i="1"/>
  <c r="ER28" i="1"/>
  <c r="EP28" i="1"/>
  <c r="ES28" i="1"/>
  <c r="CO13" i="1"/>
  <c r="CU13" i="1" s="1"/>
  <c r="AT13" i="1" s="1"/>
  <c r="AP18" i="1"/>
  <c r="FR18" i="1"/>
  <c r="EV24" i="1"/>
  <c r="AR28" i="1"/>
  <c r="CD9" i="1"/>
  <c r="CL9" i="1" s="1"/>
  <c r="AR9" i="1" s="1"/>
  <c r="BR19" i="1"/>
  <c r="CO19" i="1"/>
  <c r="CU19" i="1" s="1"/>
  <c r="AT19" i="1" s="1"/>
  <c r="AZ20" i="1"/>
  <c r="BS20" i="1"/>
  <c r="BT22" i="1"/>
  <c r="BS22" i="1"/>
  <c r="AL23" i="1"/>
  <c r="GN23" i="1"/>
  <c r="AM23" i="1" s="1"/>
  <c r="GD23" i="1"/>
  <c r="BQ23" i="1" s="1"/>
  <c r="GP24" i="1"/>
  <c r="GH26" i="1"/>
  <c r="AA30" i="1"/>
  <c r="FR8" i="1"/>
  <c r="AP11" i="1"/>
  <c r="FM12" i="1"/>
  <c r="AC14" i="1"/>
  <c r="FS15" i="1"/>
  <c r="FT15" i="1" s="1"/>
  <c r="BU15" i="1" s="1"/>
  <c r="BV15" i="1" s="1"/>
  <c r="GX16" i="1"/>
  <c r="GV18" i="1"/>
  <c r="GT18" i="1" s="1"/>
  <c r="D18" i="1" s="1"/>
  <c r="EN19" i="1"/>
  <c r="BA20" i="1"/>
  <c r="BS23" i="1"/>
  <c r="V25" i="1"/>
  <c r="X25" i="1" s="1"/>
  <c r="BS27" i="1"/>
  <c r="AA9" i="1"/>
  <c r="FN12" i="1"/>
  <c r="GR13" i="1"/>
  <c r="AD14" i="1"/>
  <c r="AB16" i="1"/>
  <c r="CD21" i="1"/>
  <c r="CL21" i="1" s="1"/>
  <c r="AR21" i="1" s="1"/>
  <c r="GT21" i="1"/>
  <c r="D21" i="1" s="1"/>
  <c r="AE21" i="1" s="1"/>
  <c r="FG23" i="1"/>
  <c r="BT23" i="1" s="1"/>
  <c r="AA24" i="1"/>
  <c r="Z24" i="1"/>
  <c r="AE24" i="1"/>
  <c r="FG25" i="1"/>
  <c r="BT25" i="1" s="1"/>
  <c r="BS25" i="1"/>
  <c r="N26" i="1"/>
  <c r="BS40" i="1"/>
  <c r="H11" i="1"/>
  <c r="GT19" i="1"/>
  <c r="D19" i="1" s="1"/>
  <c r="EN20" i="1"/>
  <c r="EP20" i="1" s="1"/>
  <c r="FP20" i="1"/>
  <c r="BE22" i="1"/>
  <c r="BN22" i="1" s="1"/>
  <c r="CD24" i="1"/>
  <c r="CL24" i="1" s="1"/>
  <c r="AR24" i="1" s="1"/>
  <c r="BS30" i="1"/>
  <c r="I21" i="1"/>
  <c r="DE21" i="1"/>
  <c r="DF21" i="1" s="1"/>
  <c r="EX21" i="1"/>
  <c r="EU21" i="1"/>
  <c r="ET21" i="1"/>
  <c r="EP21" i="1"/>
  <c r="I25" i="1"/>
  <c r="FS25" i="1"/>
  <c r="BM25" i="1"/>
  <c r="FS19" i="1"/>
  <c r="FR19" i="1"/>
  <c r="CO20" i="1"/>
  <c r="CU20" i="1" s="1"/>
  <c r="AT20" i="1" s="1"/>
  <c r="AS20" i="1"/>
  <c r="H21" i="1"/>
  <c r="GJ21" i="1"/>
  <c r="GH21" i="1" s="1"/>
  <c r="BT21" i="1"/>
  <c r="BS21" i="1"/>
  <c r="BF22" i="1"/>
  <c r="BO22" i="1" s="1"/>
  <c r="CD27" i="1"/>
  <c r="CL27" i="1" s="1"/>
  <c r="AR27" i="1" s="1"/>
  <c r="AD20" i="1"/>
  <c r="EP22" i="1"/>
  <c r="FT22" i="1"/>
  <c r="BU22" i="1" s="1"/>
  <c r="BV22" i="1" s="1"/>
  <c r="DE24" i="1"/>
  <c r="DF24" i="1" s="1"/>
  <c r="FR25" i="1"/>
  <c r="FX25" i="1"/>
  <c r="I26" i="1"/>
  <c r="AS26" i="1"/>
  <c r="GV26" i="1"/>
  <c r="GT26" i="1" s="1"/>
  <c r="D26" i="1" s="1"/>
  <c r="AE26" i="1" s="1"/>
  <c r="Z35" i="1"/>
  <c r="AE35" i="1"/>
  <c r="CD38" i="1"/>
  <c r="BS38" i="1"/>
  <c r="GX41" i="1"/>
  <c r="DV41" i="1"/>
  <c r="BA41" i="1"/>
  <c r="CD23" i="1"/>
  <c r="CL23" i="1" s="1"/>
  <c r="AR23" i="1" s="1"/>
  <c r="FM24" i="1"/>
  <c r="FP24" i="1" s="1"/>
  <c r="GX26" i="1"/>
  <c r="FR27" i="1"/>
  <c r="EW28" i="1"/>
  <c r="I29" i="1"/>
  <c r="GR30" i="1"/>
  <c r="AN30" i="1" s="1"/>
  <c r="R32" i="1"/>
  <c r="AH32" i="1"/>
  <c r="BR32" i="1"/>
  <c r="CU33" i="1"/>
  <c r="BQ34" i="1"/>
  <c r="FT34" i="1"/>
  <c r="BU34" i="1" s="1"/>
  <c r="BV34" i="1" s="1"/>
  <c r="CD37" i="1"/>
  <c r="CL37" i="1" s="1"/>
  <c r="AR37" i="1" s="1"/>
  <c r="I44" i="1"/>
  <c r="FS44" i="1"/>
  <c r="BS44" i="1"/>
  <c r="FR44" i="1"/>
  <c r="FX20" i="1"/>
  <c r="AX21" i="1"/>
  <c r="I23" i="1"/>
  <c r="AP25" i="1"/>
  <c r="GR25" i="1"/>
  <c r="AN25" i="1" s="1"/>
  <c r="EN26" i="1"/>
  <c r="EW26" i="1" s="1"/>
  <c r="AC28" i="1"/>
  <c r="GM28" i="1"/>
  <c r="FS29" i="1"/>
  <c r="FT29" i="1" s="1"/>
  <c r="BU29" i="1" s="1"/>
  <c r="BV29" i="1" s="1"/>
  <c r="AL32" i="1"/>
  <c r="GN32" i="1"/>
  <c r="AM32" i="1" s="1"/>
  <c r="CD36" i="1"/>
  <c r="CL36" i="1" s="1"/>
  <c r="AR36" i="1" s="1"/>
  <c r="BT37" i="1"/>
  <c r="BS37" i="1"/>
  <c r="GR44" i="1"/>
  <c r="AN44" i="1" s="1"/>
  <c r="AP44" i="1"/>
  <c r="AQ44" i="1"/>
  <c r="FM21" i="1"/>
  <c r="EW22" i="1"/>
  <c r="AB23" i="1"/>
  <c r="AQ24" i="1"/>
  <c r="BS26" i="1"/>
  <c r="GR27" i="1"/>
  <c r="N29" i="1"/>
  <c r="EU31" i="1"/>
  <c r="ET31" i="1"/>
  <c r="EQ31" i="1"/>
  <c r="GH32" i="1"/>
  <c r="P35" i="1"/>
  <c r="AD35" i="1"/>
  <c r="AB35" i="1"/>
  <c r="FP35" i="1"/>
  <c r="AE40" i="1"/>
  <c r="Z40" i="1"/>
  <c r="FN21" i="1"/>
  <c r="AC23" i="1"/>
  <c r="EN23" i="1"/>
  <c r="ES23" i="1" s="1"/>
  <c r="H25" i="1"/>
  <c r="FM26" i="1"/>
  <c r="EX31" i="1"/>
  <c r="GP33" i="1"/>
  <c r="AP36" i="1"/>
  <c r="AQ36" i="1"/>
  <c r="GX42" i="1"/>
  <c r="DV42" i="1"/>
  <c r="BA42" i="1"/>
  <c r="AZ42" i="1"/>
  <c r="AP22" i="1"/>
  <c r="AD23" i="1"/>
  <c r="FS24" i="1"/>
  <c r="FT24" i="1" s="1"/>
  <c r="BU24" i="1" s="1"/>
  <c r="BV24" i="1" s="1"/>
  <c r="FN26" i="1"/>
  <c r="CO30" i="1"/>
  <c r="CU30" i="1" s="1"/>
  <c r="AT30" i="1" s="1"/>
  <c r="EP31" i="1"/>
  <c r="CD33" i="1"/>
  <c r="P36" i="1"/>
  <c r="AB36" i="1"/>
  <c r="FR36" i="1"/>
  <c r="AS39" i="1"/>
  <c r="CD22" i="1"/>
  <c r="CL22" i="1" s="1"/>
  <c r="AR22" i="1" s="1"/>
  <c r="GH23" i="1"/>
  <c r="AB25" i="1"/>
  <c r="GV27" i="1"/>
  <c r="GT27" i="1" s="1"/>
  <c r="D27" i="1" s="1"/>
  <c r="ET28" i="1"/>
  <c r="AX29" i="1"/>
  <c r="FZ29" i="1"/>
  <c r="EN30" i="1"/>
  <c r="DE31" i="1"/>
  <c r="DF31" i="1" s="1"/>
  <c r="ER31" i="1"/>
  <c r="FG33" i="1"/>
  <c r="BT33" i="1" s="1"/>
  <c r="CO35" i="1"/>
  <c r="CU35" i="1" s="1"/>
  <c r="AT35" i="1" s="1"/>
  <c r="ER35" i="1"/>
  <c r="CO39" i="1"/>
  <c r="CU39" i="1" s="1"/>
  <c r="AT39" i="1" s="1"/>
  <c r="EN40" i="1"/>
  <c r="EQ40" i="1" s="1"/>
  <c r="FR21" i="1"/>
  <c r="FZ22" i="1"/>
  <c r="AC25" i="1"/>
  <c r="AQ26" i="1"/>
  <c r="GX27" i="1"/>
  <c r="EU28" i="1"/>
  <c r="I30" i="1"/>
  <c r="BT32" i="1"/>
  <c r="BS32" i="1"/>
  <c r="BS34" i="1"/>
  <c r="BT34" i="1"/>
  <c r="GL34" i="1"/>
  <c r="FS21" i="1"/>
  <c r="GV22" i="1"/>
  <c r="GT22" i="1" s="1"/>
  <c r="D22" i="1" s="1"/>
  <c r="AP24" i="1"/>
  <c r="FR26" i="1"/>
  <c r="EV28" i="1"/>
  <c r="FM28" i="1"/>
  <c r="AP29" i="1"/>
  <c r="AS29" i="1"/>
  <c r="GH29" i="1"/>
  <c r="N30" i="1"/>
  <c r="FR30" i="1"/>
  <c r="AE37" i="1"/>
  <c r="FZ37" i="1"/>
  <c r="P38" i="1"/>
  <c r="AC38" i="1"/>
  <c r="BR39" i="1"/>
  <c r="R39" i="1"/>
  <c r="AH39" i="1"/>
  <c r="P40" i="1"/>
  <c r="AC40" i="1"/>
  <c r="AB40" i="1"/>
  <c r="FS26" i="1"/>
  <c r="GT28" i="1"/>
  <c r="D28" i="1" s="1"/>
  <c r="AA28" i="1" s="1"/>
  <c r="AQ29" i="1"/>
  <c r="EN29" i="1"/>
  <c r="ER29" i="1" s="1"/>
  <c r="BS29" i="1"/>
  <c r="AP30" i="1"/>
  <c r="BS35" i="1"/>
  <c r="EU35" i="1"/>
  <c r="AQ38" i="1"/>
  <c r="AS40" i="1"/>
  <c r="GN40" i="1"/>
  <c r="AM40" i="1" s="1"/>
  <c r="GD40" i="1"/>
  <c r="BQ40" i="1" s="1"/>
  <c r="AL40" i="1"/>
  <c r="P41" i="1"/>
  <c r="BR41" i="1" s="1"/>
  <c r="AB41" i="1"/>
  <c r="BQ22" i="1"/>
  <c r="FM25" i="1"/>
  <c r="FP25" i="1" s="1"/>
  <c r="GH25" i="1"/>
  <c r="EX28" i="1"/>
  <c r="CO29" i="1"/>
  <c r="CU29" i="1" s="1"/>
  <c r="AT29" i="1" s="1"/>
  <c r="FX30" i="1"/>
  <c r="CG32" i="1"/>
  <c r="CL32" i="1" s="1"/>
  <c r="AR32" i="1" s="1"/>
  <c r="AN34" i="1"/>
  <c r="AZ35" i="1"/>
  <c r="BA36" i="1"/>
  <c r="GH36" i="1"/>
  <c r="GM38" i="1"/>
  <c r="GD38" i="1"/>
  <c r="BQ38" i="1" s="1"/>
  <c r="CL39" i="1"/>
  <c r="AR39" i="1" s="1"/>
  <c r="FG29" i="1"/>
  <c r="BT29" i="1" s="1"/>
  <c r="AE30" i="1"/>
  <c r="GN30" i="1"/>
  <c r="AM30" i="1" s="1"/>
  <c r="AL30" i="1"/>
  <c r="GD30" i="1"/>
  <c r="BQ30" i="1" s="1"/>
  <c r="AD31" i="1"/>
  <c r="AB31" i="1"/>
  <c r="FO31" i="1"/>
  <c r="FM31" i="1"/>
  <c r="AA35" i="1"/>
  <c r="FZ35" i="1"/>
  <c r="AX35" i="1"/>
  <c r="BA35" i="1"/>
  <c r="EW35" i="1"/>
  <c r="BB36" i="1"/>
  <c r="CR38" i="1"/>
  <c r="CU38" i="1" s="1"/>
  <c r="AT38" i="1" s="1"/>
  <c r="AS38" i="1"/>
  <c r="GP41" i="1"/>
  <c r="AN41" i="1"/>
  <c r="AB24" i="1"/>
  <c r="AH25" i="1"/>
  <c r="AP26" i="1"/>
  <c r="EN27" i="1"/>
  <c r="EV27" i="1" s="1"/>
  <c r="AS30" i="1"/>
  <c r="FG30" i="1"/>
  <c r="BT30" i="1" s="1"/>
  <c r="FN31" i="1"/>
  <c r="P33" i="1"/>
  <c r="BR33" i="1" s="1"/>
  <c r="AD33" i="1"/>
  <c r="AC33" i="1"/>
  <c r="AB33" i="1"/>
  <c r="EN34" i="1"/>
  <c r="EP34" i="1" s="1"/>
  <c r="AC35" i="1"/>
  <c r="BB35" i="1"/>
  <c r="EX35" i="1"/>
  <c r="GH35" i="1"/>
  <c r="DE36" i="1"/>
  <c r="DF36" i="1" s="1"/>
  <c r="AC24" i="1"/>
  <c r="BR31" i="1"/>
  <c r="R31" i="1"/>
  <c r="AH31" i="1"/>
  <c r="FX33" i="1"/>
  <c r="FR33" i="1"/>
  <c r="DE35" i="1"/>
  <c r="DF35" i="1" s="1"/>
  <c r="DV35" i="1"/>
  <c r="ET35" i="1"/>
  <c r="ES35" i="1"/>
  <c r="EP35" i="1"/>
  <c r="GX36" i="1"/>
  <c r="AZ36" i="1"/>
  <c r="GR28" i="1"/>
  <c r="AP28" i="1"/>
  <c r="AQ28" i="1"/>
  <c r="AS28" i="1"/>
  <c r="GV29" i="1"/>
  <c r="GT29" i="1" s="1"/>
  <c r="D29" i="1" s="1"/>
  <c r="H29" i="1"/>
  <c r="GP29" i="1"/>
  <c r="CD30" i="1"/>
  <c r="CL30" i="1" s="1"/>
  <c r="AR30" i="1" s="1"/>
  <c r="AS34" i="1"/>
  <c r="EQ35" i="1"/>
  <c r="Z36" i="1"/>
  <c r="GR36" i="1"/>
  <c r="AN36" i="1" s="1"/>
  <c r="BB42" i="1"/>
  <c r="AQ32" i="1"/>
  <c r="GT33" i="1"/>
  <c r="D33" i="1" s="1"/>
  <c r="AA33" i="1" s="1"/>
  <c r="BB34" i="1"/>
  <c r="CO34" i="1"/>
  <c r="CU34" i="1" s="1"/>
  <c r="AT34" i="1" s="1"/>
  <c r="H36" i="1"/>
  <c r="FS36" i="1"/>
  <c r="N37" i="1"/>
  <c r="P37" i="1" s="1"/>
  <c r="BR37" i="1" s="1"/>
  <c r="I38" i="1"/>
  <c r="AX39" i="1"/>
  <c r="H41" i="1"/>
  <c r="AS32" i="1"/>
  <c r="EN32" i="1"/>
  <c r="EU32" i="1" s="1"/>
  <c r="AP33" i="1"/>
  <c r="GM35" i="1"/>
  <c r="AA36" i="1"/>
  <c r="AS36" i="1"/>
  <c r="GR39" i="1"/>
  <c r="AN39" i="1" s="1"/>
  <c r="AP39" i="1"/>
  <c r="AB39" i="1"/>
  <c r="FC39" i="1"/>
  <c r="P44" i="1"/>
  <c r="AD44" i="1"/>
  <c r="AB44" i="1"/>
  <c r="EQ44" i="1"/>
  <c r="EP44" i="1"/>
  <c r="EX44" i="1"/>
  <c r="EV44" i="1"/>
  <c r="EU44" i="1"/>
  <c r="ES44" i="1"/>
  <c r="H32" i="1"/>
  <c r="GP35" i="1"/>
  <c r="GH38" i="1"/>
  <c r="BZ43" i="1"/>
  <c r="CO31" i="1"/>
  <c r="CU31" i="1" s="1"/>
  <c r="AT31" i="1" s="1"/>
  <c r="FR31" i="1"/>
  <c r="I32" i="1"/>
  <c r="AB32" i="1"/>
  <c r="FN32" i="1"/>
  <c r="FP32" i="1" s="1"/>
  <c r="AQ35" i="1"/>
  <c r="EN36" i="1"/>
  <c r="EW36" i="1" s="1"/>
  <c r="EN37" i="1"/>
  <c r="EW37" i="1" s="1"/>
  <c r="FO37" i="1"/>
  <c r="FP37" i="1" s="1"/>
  <c r="BE38" i="1"/>
  <c r="BN38" i="1" s="1"/>
  <c r="BB39" i="1"/>
  <c r="GD39" i="1"/>
  <c r="BQ39" i="1" s="1"/>
  <c r="AQ40" i="1"/>
  <c r="AP40" i="1"/>
  <c r="BT41" i="1"/>
  <c r="BS41" i="1"/>
  <c r="AS44" i="1"/>
  <c r="AH46" i="1"/>
  <c r="BR46" i="1"/>
  <c r="FS31" i="1"/>
  <c r="AC32" i="1"/>
  <c r="CD34" i="1"/>
  <c r="CL34" i="1" s="1"/>
  <c r="AR34" i="1" s="1"/>
  <c r="GV34" i="1"/>
  <c r="GT34" i="1" s="1"/>
  <c r="D34" i="1" s="1"/>
  <c r="AE34" i="1" s="1"/>
  <c r="BZ35" i="1"/>
  <c r="CL35" i="1" s="1"/>
  <c r="AR35" i="1" s="1"/>
  <c r="AD36" i="1"/>
  <c r="AP37" i="1"/>
  <c r="AB38" i="1"/>
  <c r="CG38" i="1"/>
  <c r="FP38" i="1"/>
  <c r="FN40" i="1"/>
  <c r="EN42" i="1"/>
  <c r="EP42" i="1" s="1"/>
  <c r="CD43" i="1"/>
  <c r="FR28" i="1"/>
  <c r="EW31" i="1"/>
  <c r="FR32" i="1"/>
  <c r="EN33" i="1"/>
  <c r="ER33" i="1" s="1"/>
  <c r="GX34" i="1"/>
  <c r="FC36" i="1"/>
  <c r="GX37" i="1"/>
  <c r="EN38" i="1"/>
  <c r="EQ38" i="1" s="1"/>
  <c r="BE40" i="1"/>
  <c r="BN40" i="1" s="1"/>
  <c r="FO40" i="1"/>
  <c r="GR40" i="1"/>
  <c r="AC41" i="1"/>
  <c r="EN41" i="1"/>
  <c r="EU41" i="1" s="1"/>
  <c r="FN41" i="1"/>
  <c r="FM41" i="1"/>
  <c r="FP41" i="1" s="1"/>
  <c r="BT42" i="1"/>
  <c r="AQ42" i="1"/>
  <c r="GV42" i="1"/>
  <c r="GT42" i="1" s="1"/>
  <c r="D42" i="1" s="1"/>
  <c r="Z42" i="1" s="1"/>
  <c r="AT43" i="1"/>
  <c r="R46" i="1"/>
  <c r="AX34" i="1"/>
  <c r="FR38" i="1"/>
  <c r="CU41" i="1"/>
  <c r="AT41" i="1" s="1"/>
  <c r="I42" i="1"/>
  <c r="FS42" i="1"/>
  <c r="I47" i="1"/>
  <c r="AP47" i="1"/>
  <c r="FS47" i="1"/>
  <c r="BF36" i="1"/>
  <c r="BO36" i="1" s="1"/>
  <c r="FG36" i="1"/>
  <c r="FR37" i="1"/>
  <c r="FS38" i="1"/>
  <c r="AC39" i="1"/>
  <c r="GM39" i="1"/>
  <c r="AA40" i="1"/>
  <c r="FR40" i="1"/>
  <c r="AP41" i="1"/>
  <c r="AP42" i="1"/>
  <c r="FC43" i="1"/>
  <c r="GR32" i="1"/>
  <c r="AN32" i="1" s="1"/>
  <c r="FN33" i="1"/>
  <c r="FP33" i="1" s="1"/>
  <c r="CO37" i="1"/>
  <c r="CU37" i="1" s="1"/>
  <c r="AT37" i="1" s="1"/>
  <c r="AN42" i="1"/>
  <c r="CR42" i="1"/>
  <c r="FZ44" i="1"/>
  <c r="AX44" i="1"/>
  <c r="H31" i="1"/>
  <c r="FX37" i="1"/>
  <c r="EN39" i="1"/>
  <c r="EV39" i="1" s="1"/>
  <c r="FX40" i="1"/>
  <c r="AS41" i="1"/>
  <c r="FZ41" i="1"/>
  <c r="FR42" i="1"/>
  <c r="GP43" i="1"/>
  <c r="AN43" i="1"/>
  <c r="GT45" i="1"/>
  <c r="D45" i="1" s="1"/>
  <c r="AQ33" i="1"/>
  <c r="AP35" i="1"/>
  <c r="BF38" i="1"/>
  <c r="BO38" i="1" s="1"/>
  <c r="GV38" i="1"/>
  <c r="GT38" i="1" s="1"/>
  <c r="D38" i="1" s="1"/>
  <c r="BD40" i="1"/>
  <c r="BM40" i="1" s="1"/>
  <c r="ER44" i="1"/>
  <c r="GV32" i="1"/>
  <c r="GT32" i="1" s="1"/>
  <c r="D32" i="1" s="1"/>
  <c r="N34" i="1"/>
  <c r="P34" i="1" s="1"/>
  <c r="BR34" i="1" s="1"/>
  <c r="EV35" i="1"/>
  <c r="Z43" i="1"/>
  <c r="N43" i="1"/>
  <c r="AC44" i="1"/>
  <c r="EN46" i="1"/>
  <c r="EQ46" i="1" s="1"/>
  <c r="GN35" i="1"/>
  <c r="AL35" i="1"/>
  <c r="I36" i="1"/>
  <c r="BD39" i="1"/>
  <c r="BM39" i="1" s="1"/>
  <c r="GV39" i="1"/>
  <c r="GT39" i="1" s="1"/>
  <c r="D39" i="1" s="1"/>
  <c r="AA39" i="1" s="1"/>
  <c r="AZ41" i="1"/>
  <c r="GM41" i="1"/>
  <c r="BT44" i="1"/>
  <c r="FC45" i="1"/>
  <c r="AX58" i="1"/>
  <c r="FZ58" i="1"/>
  <c r="DV36" i="1"/>
  <c r="GX39" i="1"/>
  <c r="FT43" i="1"/>
  <c r="BU43" i="1" s="1"/>
  <c r="BV43" i="1" s="1"/>
  <c r="AX47" i="1"/>
  <c r="FZ47" i="1"/>
  <c r="CG45" i="1"/>
  <c r="GX45" i="1"/>
  <c r="GP45" i="1"/>
  <c r="FP46" i="1"/>
  <c r="AD40" i="1"/>
  <c r="CO42" i="1"/>
  <c r="CU42" i="1" s="1"/>
  <c r="AT42" i="1" s="1"/>
  <c r="GH43" i="1"/>
  <c r="H44" i="1"/>
  <c r="FS45" i="1"/>
  <c r="FT45" i="1" s="1"/>
  <c r="BU45" i="1" s="1"/>
  <c r="BV45" i="1" s="1"/>
  <c r="AH58" i="1"/>
  <c r="GP47" i="1"/>
  <c r="FO43" i="1"/>
  <c r="FM43" i="1"/>
  <c r="AZ44" i="1"/>
  <c r="AC45" i="1"/>
  <c r="FT46" i="1"/>
  <c r="BU46" i="1" s="1"/>
  <c r="BV46" i="1" s="1"/>
  <c r="AE58" i="1"/>
  <c r="BA44" i="1"/>
  <c r="H45" i="1"/>
  <c r="AD47" i="1"/>
  <c r="AC47" i="1"/>
  <c r="P47" i="1"/>
  <c r="AP43" i="1"/>
  <c r="EN43" i="1"/>
  <c r="EQ43" i="1" s="1"/>
  <c r="I45" i="1"/>
  <c r="AD46" i="1"/>
  <c r="CO46" i="1"/>
  <c r="CU46" i="1" s="1"/>
  <c r="AT46" i="1" s="1"/>
  <c r="AQ46" i="1"/>
  <c r="BS47" i="1"/>
  <c r="BT47" i="1"/>
  <c r="DE38" i="1"/>
  <c r="DF38" i="1" s="1"/>
  <c r="AX42" i="1"/>
  <c r="GH44" i="1"/>
  <c r="R45" i="1"/>
  <c r="GJ46" i="1"/>
  <c r="GH46" i="1" s="1"/>
  <c r="AS46" i="1"/>
  <c r="I46" i="1"/>
  <c r="H46" i="1"/>
  <c r="AS43" i="1"/>
  <c r="FZ45" i="1"/>
  <c r="GD58" i="1"/>
  <c r="BQ58" i="1" s="1"/>
  <c r="GT41" i="1"/>
  <c r="D41" i="1" s="1"/>
  <c r="AA41" i="1" s="1"/>
  <c r="BE43" i="1"/>
  <c r="BN43" i="1" s="1"/>
  <c r="EW44" i="1"/>
  <c r="AD45" i="1"/>
  <c r="Z46" i="1"/>
  <c r="AA58" i="1"/>
  <c r="FR41" i="1"/>
  <c r="FX41" i="1"/>
  <c r="BR45" i="1"/>
  <c r="AS45" i="1"/>
  <c r="AA46" i="1"/>
  <c r="FX47" i="1"/>
  <c r="FR47" i="1"/>
  <c r="GP58" i="1"/>
  <c r="AQ41" i="1"/>
  <c r="I43" i="1"/>
  <c r="DE46" i="1"/>
  <c r="DF46" i="1" s="1"/>
  <c r="BD46" i="1"/>
  <c r="BM46" i="1" s="1"/>
  <c r="GP46" i="1"/>
  <c r="FG45" i="1"/>
  <c r="AT45" i="1"/>
  <c r="FF46" i="1"/>
  <c r="FG46" i="1" s="1"/>
  <c r="BT46" i="1" s="1"/>
  <c r="CD46" i="1"/>
  <c r="CL46" i="1" s="1"/>
  <c r="AR46" i="1" s="1"/>
  <c r="BE46" i="1"/>
  <c r="BN46" i="1" s="1"/>
  <c r="AL58" i="1"/>
  <c r="BT58" i="1"/>
  <c r="BS58" i="1"/>
  <c r="GT44" i="1"/>
  <c r="D44" i="1" s="1"/>
  <c r="AE44" i="1" s="1"/>
  <c r="AC46" i="1"/>
  <c r="AB46" i="1"/>
  <c r="BF46" i="1"/>
  <c r="BO46" i="1" s="1"/>
  <c r="H58" i="1"/>
  <c r="GJ58" i="1"/>
  <c r="GH58" i="1" s="1"/>
  <c r="AR58" i="1"/>
  <c r="N42" i="1"/>
  <c r="AB42" i="1" s="1"/>
  <c r="FN45" i="1"/>
  <c r="FP45" i="1" s="1"/>
  <c r="FM47" i="1"/>
  <c r="FP47" i="1" s="1"/>
  <c r="GM58" i="1"/>
  <c r="FS58" i="1"/>
  <c r="AB45" i="1"/>
  <c r="AB58" i="1"/>
  <c r="EN58" i="1"/>
  <c r="EX58" i="1" s="1"/>
  <c r="EN45" i="1"/>
  <c r="EX45" i="1" s="1"/>
  <c r="AD58" i="1"/>
  <c r="EN47" i="1"/>
  <c r="EU47" i="1" s="1"/>
  <c r="EW18" i="1" l="1"/>
  <c r="GL11" i="1"/>
  <c r="FP28" i="1"/>
  <c r="EW5" i="1"/>
  <c r="EV46" i="1"/>
  <c r="AC20" i="1"/>
  <c r="FP44" i="1"/>
  <c r="EX46" i="1"/>
  <c r="EX18" i="1"/>
  <c r="FP17" i="1"/>
  <c r="FP30" i="1"/>
  <c r="FP27" i="1"/>
  <c r="FP42" i="1"/>
  <c r="FP19" i="1"/>
  <c r="FP43" i="1"/>
  <c r="CL38" i="1"/>
  <c r="AR38" i="1" s="1"/>
  <c r="Z6" i="1"/>
  <c r="FP40" i="1"/>
  <c r="ET15" i="1"/>
  <c r="AC58" i="1"/>
  <c r="EV5" i="1"/>
  <c r="ER5" i="1"/>
  <c r="EP5" i="1"/>
  <c r="FP58" i="1"/>
  <c r="AA8" i="1"/>
  <c r="EV43" i="1"/>
  <c r="EU40" i="1"/>
  <c r="FP11" i="1"/>
  <c r="GP36" i="1"/>
  <c r="EX38" i="1"/>
  <c r="ES38" i="1"/>
  <c r="EP40" i="1"/>
  <c r="EX23" i="1"/>
  <c r="ES8" i="1"/>
  <c r="GP9" i="1"/>
  <c r="FP14" i="1"/>
  <c r="FP10" i="1"/>
  <c r="GL28" i="1"/>
  <c r="AB6" i="1"/>
  <c r="FP34" i="1"/>
  <c r="ET45" i="1"/>
  <c r="FP31" i="1"/>
  <c r="ES5" i="1"/>
  <c r="ER14" i="1"/>
  <c r="GN58" i="1"/>
  <c r="AM58" i="1" s="1"/>
  <c r="FT58" i="1"/>
  <c r="BU58" i="1" s="1"/>
  <c r="BV58" i="1" s="1"/>
  <c r="EW58" i="1"/>
  <c r="ES58" i="1"/>
  <c r="EQ58" i="1"/>
  <c r="ER58" i="1"/>
  <c r="EP58" i="1"/>
  <c r="ET58" i="1"/>
  <c r="EV58" i="1"/>
  <c r="Z26" i="1"/>
  <c r="GL7" i="1"/>
  <c r="AM9" i="1"/>
  <c r="BE48" i="1"/>
  <c r="EU45" i="1"/>
  <c r="ET47" i="1"/>
  <c r="ER43" i="1"/>
  <c r="EP23" i="1"/>
  <c r="EW47" i="1"/>
  <c r="EQ34" i="1"/>
  <c r="ER13" i="1"/>
  <c r="EP26" i="1"/>
  <c r="EV15" i="1"/>
  <c r="EX37" i="1"/>
  <c r="EY6" i="1"/>
  <c r="EW41" i="1"/>
  <c r="EU37" i="1"/>
  <c r="EQ47" i="1"/>
  <c r="EP45" i="1"/>
  <c r="ES37" i="1"/>
  <c r="EP41" i="1"/>
  <c r="EV41" i="1"/>
  <c r="ER41" i="1"/>
  <c r="EX43" i="1"/>
  <c r="ES18" i="1"/>
  <c r="ES43" i="1"/>
  <c r="ET43" i="1"/>
  <c r="ET38" i="1"/>
  <c r="ER37" i="1"/>
  <c r="EX36" i="1"/>
  <c r="EW29" i="1"/>
  <c r="ET23" i="1"/>
  <c r="EV37" i="1"/>
  <c r="EU18" i="1"/>
  <c r="EV8" i="1"/>
  <c r="ET32" i="1"/>
  <c r="EP37" i="1"/>
  <c r="ET18" i="1"/>
  <c r="DV48" i="1"/>
  <c r="CL43" i="1"/>
  <c r="AR43" i="1" s="1"/>
  <c r="AB34" i="1"/>
  <c r="AB20" i="1"/>
  <c r="CA48" i="1"/>
  <c r="GL40" i="1"/>
  <c r="GN46" i="1"/>
  <c r="AM46" i="1" s="1"/>
  <c r="GL17" i="1"/>
  <c r="GL30" i="1"/>
  <c r="GP30" i="1"/>
  <c r="CO44" i="1"/>
  <c r="CU44" i="1" s="1"/>
  <c r="AT44" i="1" s="1"/>
  <c r="GL35" i="1"/>
  <c r="GP44" i="1"/>
  <c r="CO26" i="1"/>
  <c r="CU26" i="1" s="1"/>
  <c r="AT26" i="1" s="1"/>
  <c r="GL23" i="1"/>
  <c r="AE42" i="1"/>
  <c r="AA44" i="1"/>
  <c r="AA21" i="1"/>
  <c r="Z44" i="1"/>
  <c r="AA34" i="1"/>
  <c r="Z28" i="1"/>
  <c r="AA29" i="1"/>
  <c r="AE29" i="1"/>
  <c r="Z29" i="1"/>
  <c r="AA14" i="1"/>
  <c r="AE14" i="1"/>
  <c r="Z14" i="1"/>
  <c r="Z18" i="1"/>
  <c r="AA18" i="1"/>
  <c r="AE18" i="1"/>
  <c r="AE27" i="1"/>
  <c r="AA27" i="1"/>
  <c r="Z27" i="1"/>
  <c r="AA22" i="1"/>
  <c r="AE22" i="1"/>
  <c r="Z22" i="1"/>
  <c r="BT39" i="1"/>
  <c r="BS39" i="1"/>
  <c r="P30" i="1"/>
  <c r="AD30" i="1"/>
  <c r="AB30" i="1"/>
  <c r="AC30" i="1"/>
  <c r="EP30" i="1"/>
  <c r="EW30" i="1"/>
  <c r="EX30" i="1"/>
  <c r="AL36" i="1"/>
  <c r="GD36" i="1"/>
  <c r="BQ36" i="1" s="1"/>
  <c r="GN36" i="1"/>
  <c r="GD27" i="1"/>
  <c r="BQ27" i="1" s="1"/>
  <c r="AL27" i="1"/>
  <c r="GN27" i="1"/>
  <c r="CD19" i="1"/>
  <c r="CL19" i="1" s="1"/>
  <c r="AR19" i="1" s="1"/>
  <c r="CD18" i="1"/>
  <c r="CL18" i="1" s="1"/>
  <c r="AR18" i="1" s="1"/>
  <c r="BZ48" i="1"/>
  <c r="CL5" i="1"/>
  <c r="AI10" i="1"/>
  <c r="V10" i="1"/>
  <c r="X10" i="1" s="1"/>
  <c r="EY9" i="1"/>
  <c r="EX7" i="1"/>
  <c r="EV7" i="1"/>
  <c r="EU10" i="1"/>
  <c r="ET46" i="1"/>
  <c r="ES46" i="1"/>
  <c r="EP46" i="1"/>
  <c r="EW46" i="1"/>
  <c r="EU46" i="1"/>
  <c r="ER46" i="1"/>
  <c r="AA42" i="1"/>
  <c r="EW38" i="1"/>
  <c r="ER38" i="1"/>
  <c r="EQ30" i="1"/>
  <c r="EU23" i="1"/>
  <c r="ER23" i="1"/>
  <c r="EQ23" i="1"/>
  <c r="EX26" i="1"/>
  <c r="FT8" i="1"/>
  <c r="BU8" i="1" s="1"/>
  <c r="BV8" i="1" s="1"/>
  <c r="EU25" i="1"/>
  <c r="EX17" i="1"/>
  <c r="ES17" i="1"/>
  <c r="EQ17" i="1"/>
  <c r="EP17" i="1"/>
  <c r="DE48" i="1"/>
  <c r="DC49" i="1" s="1"/>
  <c r="GJ48" i="1"/>
  <c r="P28" i="1"/>
  <c r="AD28" i="1"/>
  <c r="AB28" i="1"/>
  <c r="EV17" i="1"/>
  <c r="CD8" i="1"/>
  <c r="CL8" i="1" s="1"/>
  <c r="AR8" i="1" s="1"/>
  <c r="P29" i="1"/>
  <c r="AB29" i="1"/>
  <c r="AQ47" i="1"/>
  <c r="CO47" i="1"/>
  <c r="CU47" i="1" s="1"/>
  <c r="AT47" i="1" s="1"/>
  <c r="CD25" i="1"/>
  <c r="GX48" i="1"/>
  <c r="CO23" i="1"/>
  <c r="CU23" i="1" s="1"/>
  <c r="AT23" i="1" s="1"/>
  <c r="AQ23" i="1"/>
  <c r="EX40" i="1"/>
  <c r="EW40" i="1"/>
  <c r="EV40" i="1"/>
  <c r="ES40" i="1"/>
  <c r="AD29" i="1"/>
  <c r="R36" i="1"/>
  <c r="AH36" i="1"/>
  <c r="FT13" i="1"/>
  <c r="BU13" i="1"/>
  <c r="BV13" i="1" s="1"/>
  <c r="V24" i="1"/>
  <c r="X24" i="1" s="1"/>
  <c r="AI24" i="1"/>
  <c r="FT11" i="1"/>
  <c r="BU11" i="1" s="1"/>
  <c r="BV11" i="1" s="1"/>
  <c r="GP8" i="1"/>
  <c r="ER16" i="1"/>
  <c r="R9" i="1"/>
  <c r="AH9" i="1"/>
  <c r="ES20" i="1"/>
  <c r="EW8" i="1"/>
  <c r="GB48" i="1"/>
  <c r="AX5" i="1"/>
  <c r="FZ5" i="1"/>
  <c r="FZ48" i="1" s="1"/>
  <c r="GP19" i="1"/>
  <c r="AN19" i="1"/>
  <c r="ES7" i="1"/>
  <c r="EQ7" i="1"/>
  <c r="R37" i="1"/>
  <c r="AH37" i="1"/>
  <c r="CD10" i="1"/>
  <c r="CL10" i="1" s="1"/>
  <c r="AR10" i="1" s="1"/>
  <c r="FT25" i="1"/>
  <c r="BU25" i="1" s="1"/>
  <c r="BV25" i="1" s="1"/>
  <c r="AH27" i="1"/>
  <c r="R27" i="1"/>
  <c r="CD41" i="1"/>
  <c r="CL41" i="1" s="1"/>
  <c r="AR41" i="1" s="1"/>
  <c r="EP33" i="1"/>
  <c r="Z34" i="1"/>
  <c r="ET30" i="1"/>
  <c r="ER39" i="1"/>
  <c r="GN33" i="1"/>
  <c r="GD33" i="1"/>
  <c r="BQ33" i="1" s="1"/>
  <c r="AL33" i="1"/>
  <c r="CO28" i="1"/>
  <c r="CU28" i="1" s="1"/>
  <c r="AT28" i="1" s="1"/>
  <c r="AC34" i="1"/>
  <c r="EY21" i="1"/>
  <c r="GN21" i="1"/>
  <c r="AM21" i="1" s="1"/>
  <c r="AL21" i="1"/>
  <c r="FS48" i="1"/>
  <c r="AE12" i="1"/>
  <c r="AA12" i="1"/>
  <c r="Z12" i="1"/>
  <c r="CG48" i="1"/>
  <c r="EX8" i="1"/>
  <c r="FE48" i="1"/>
  <c r="FG5" i="1"/>
  <c r="FG48" i="1" s="1"/>
  <c r="EU17" i="1"/>
  <c r="EU8" i="1"/>
  <c r="AJ25" i="1"/>
  <c r="AG25" i="1"/>
  <c r="AF25" i="1"/>
  <c r="BT36" i="1"/>
  <c r="BS36" i="1"/>
  <c r="CD16" i="1"/>
  <c r="CL16" i="1" s="1"/>
  <c r="AR16" i="1" s="1"/>
  <c r="CN48" i="1"/>
  <c r="AQ5" i="1"/>
  <c r="P43" i="1"/>
  <c r="AD43" i="1"/>
  <c r="AC43" i="1"/>
  <c r="AB43" i="1"/>
  <c r="AN28" i="1"/>
  <c r="GP28" i="1"/>
  <c r="AH38" i="1"/>
  <c r="BR38" i="1"/>
  <c r="R38" i="1"/>
  <c r="AQ22" i="1"/>
  <c r="CO22" i="1"/>
  <c r="CU22" i="1" s="1"/>
  <c r="AT22" i="1" s="1"/>
  <c r="AD34" i="1"/>
  <c r="ES32" i="1"/>
  <c r="EW23" i="1"/>
  <c r="P5" i="1"/>
  <c r="AB5" i="1"/>
  <c r="AD8" i="1"/>
  <c r="P8" i="1"/>
  <c r="AB8" i="1"/>
  <c r="ER17" i="1"/>
  <c r="EP7" i="1"/>
  <c r="V11" i="1"/>
  <c r="X11" i="1" s="1"/>
  <c r="AI11" i="1"/>
  <c r="GN37" i="1"/>
  <c r="AL37" i="1"/>
  <c r="R41" i="1"/>
  <c r="AH41" i="1"/>
  <c r="EP38" i="1"/>
  <c r="AE32" i="1"/>
  <c r="AA32" i="1"/>
  <c r="Z32" i="1"/>
  <c r="ET26" i="1"/>
  <c r="ES26" i="1"/>
  <c r="ES33" i="1"/>
  <c r="EP19" i="1"/>
  <c r="EX19" i="1"/>
  <c r="ET19" i="1"/>
  <c r="ES19" i="1"/>
  <c r="ER19" i="1"/>
  <c r="EQ19" i="1"/>
  <c r="EY28" i="1"/>
  <c r="CO24" i="1"/>
  <c r="CU24" i="1" s="1"/>
  <c r="AT24" i="1" s="1"/>
  <c r="ET8" i="1"/>
  <c r="EQ8" i="1"/>
  <c r="AL15" i="1"/>
  <c r="GN15" i="1"/>
  <c r="BD48" i="1"/>
  <c r="EN48" i="1"/>
  <c r="EU48" i="1" s="1"/>
  <c r="EQ5" i="1"/>
  <c r="EX5" i="1"/>
  <c r="ES14" i="1"/>
  <c r="EW14" i="1"/>
  <c r="EV14" i="1"/>
  <c r="EX14" i="1"/>
  <c r="EU14" i="1"/>
  <c r="BR9" i="1"/>
  <c r="V19" i="1"/>
  <c r="X19" i="1" s="1"/>
  <c r="AI19" i="1"/>
  <c r="CO8" i="1"/>
  <c r="CU8" i="1" s="1"/>
  <c r="AT8" i="1" s="1"/>
  <c r="V18" i="1"/>
  <c r="X18" i="1" s="1"/>
  <c r="AI18" i="1"/>
  <c r="FT5" i="1"/>
  <c r="GP6" i="1"/>
  <c r="AE11" i="1"/>
  <c r="EX10" i="1"/>
  <c r="EW10" i="1"/>
  <c r="ER10" i="1"/>
  <c r="EQ10" i="1"/>
  <c r="AC29" i="1"/>
  <c r="AA19" i="1"/>
  <c r="Z19" i="1"/>
  <c r="AE19" i="1"/>
  <c r="FT40" i="1"/>
  <c r="BU40" i="1"/>
  <c r="BV40" i="1" s="1"/>
  <c r="CD31" i="1"/>
  <c r="CL31" i="1" s="1"/>
  <c r="AR31" i="1" s="1"/>
  <c r="Z39" i="1"/>
  <c r="EY44" i="1"/>
  <c r="V31" i="1"/>
  <c r="X31" i="1" s="1"/>
  <c r="AI31" i="1"/>
  <c r="EX29" i="1"/>
  <c r="EV29" i="1"/>
  <c r="EU29" i="1"/>
  <c r="ET29" i="1"/>
  <c r="ES29" i="1"/>
  <c r="EQ29" i="1"/>
  <c r="EQ37" i="1"/>
  <c r="ER30" i="1"/>
  <c r="ES27" i="1"/>
  <c r="EW32" i="1"/>
  <c r="GP32" i="1"/>
  <c r="FP21" i="1"/>
  <c r="EY22" i="1"/>
  <c r="EU26" i="1"/>
  <c r="EX27" i="1"/>
  <c r="EV23" i="1"/>
  <c r="AE28" i="1"/>
  <c r="EU15" i="1"/>
  <c r="ES15" i="1"/>
  <c r="ER15" i="1"/>
  <c r="EQ15" i="1"/>
  <c r="CO5" i="1"/>
  <c r="EP10" i="1"/>
  <c r="EU12" i="1"/>
  <c r="EP12" i="1"/>
  <c r="EX12" i="1"/>
  <c r="EW12" i="1"/>
  <c r="EP14" i="1"/>
  <c r="N48" i="1"/>
  <c r="AB48" i="1" s="1"/>
  <c r="AP48" i="1"/>
  <c r="I48" i="1"/>
  <c r="FR48" i="1"/>
  <c r="GP14" i="1"/>
  <c r="CD47" i="1"/>
  <c r="CL47" i="1" s="1"/>
  <c r="AR47" i="1" s="1"/>
  <c r="FT31" i="1"/>
  <c r="BU31" i="1" s="1"/>
  <c r="BV31" i="1" s="1"/>
  <c r="AN27" i="1"/>
  <c r="GP27" i="1"/>
  <c r="EV20" i="1"/>
  <c r="EX20" i="1"/>
  <c r="EW20" i="1"/>
  <c r="ER20" i="1"/>
  <c r="EQ20" i="1"/>
  <c r="AS48" i="1"/>
  <c r="CD6" i="1"/>
  <c r="GN12" i="1"/>
  <c r="AL12" i="1"/>
  <c r="FT33" i="1"/>
  <c r="BU33" i="1" s="1"/>
  <c r="BV33" i="1" s="1"/>
  <c r="CO17" i="1"/>
  <c r="CU17" i="1" s="1"/>
  <c r="AT17" i="1" s="1"/>
  <c r="AQ17" i="1"/>
  <c r="EV47" i="1"/>
  <c r="EX47" i="1"/>
  <c r="X58" i="1"/>
  <c r="AI58" i="1"/>
  <c r="AE45" i="1"/>
  <c r="AA45" i="1"/>
  <c r="Z45" i="1"/>
  <c r="ET41" i="1"/>
  <c r="EX41" i="1"/>
  <c r="EQ41" i="1"/>
  <c r="FT28" i="1"/>
  <c r="BU28" i="1" s="1"/>
  <c r="BV28" i="1" s="1"/>
  <c r="ES47" i="1"/>
  <c r="EU38" i="1"/>
  <c r="EP29" i="1"/>
  <c r="AC37" i="1"/>
  <c r="EY31" i="1"/>
  <c r="EV32" i="1"/>
  <c r="ET20" i="1"/>
  <c r="AA26" i="1"/>
  <c r="ET27" i="1"/>
  <c r="P21" i="1"/>
  <c r="AD21" i="1"/>
  <c r="AB21" i="1"/>
  <c r="EP8" i="1"/>
  <c r="ET14" i="1"/>
  <c r="EV12" i="1"/>
  <c r="EW19" i="1"/>
  <c r="AD48" i="1"/>
  <c r="EQ12" i="1"/>
  <c r="AC5" i="1"/>
  <c r="EX13" i="1"/>
  <c r="GP17" i="1"/>
  <c r="GL9" i="1"/>
  <c r="V16" i="1"/>
  <c r="X16" i="1" s="1"/>
  <c r="AI16" i="1"/>
  <c r="V17" i="1"/>
  <c r="X17" i="1" s="1"/>
  <c r="AI17" i="1"/>
  <c r="ER7" i="1"/>
  <c r="Z8" i="1"/>
  <c r="R40" i="1"/>
  <c r="AH40" i="1"/>
  <c r="V23" i="1"/>
  <c r="X23" i="1" s="1"/>
  <c r="AI23" i="1"/>
  <c r="Z38" i="1"/>
  <c r="AE38" i="1"/>
  <c r="AA38" i="1"/>
  <c r="FT36" i="1"/>
  <c r="BU36" i="1" s="1"/>
  <c r="BV36" i="1" s="1"/>
  <c r="H48" i="1"/>
  <c r="FT47" i="1"/>
  <c r="BU47" i="1" s="1"/>
  <c r="BV47" i="1" s="1"/>
  <c r="AI45" i="1"/>
  <c r="V45" i="1"/>
  <c r="X45" i="1" s="1"/>
  <c r="GD37" i="1"/>
  <c r="BQ37" i="1" s="1"/>
  <c r="GN43" i="1"/>
  <c r="AL43" i="1"/>
  <c r="GD43" i="1"/>
  <c r="BQ43" i="1" s="1"/>
  <c r="ET40" i="1"/>
  <c r="CD29" i="1"/>
  <c r="CL29" i="1" s="1"/>
  <c r="AR29" i="1" s="1"/>
  <c r="R33" i="1"/>
  <c r="AH33" i="1"/>
  <c r="AD37" i="1"/>
  <c r="R35" i="1"/>
  <c r="AH35" i="1"/>
  <c r="BR35" i="1"/>
  <c r="ER32" i="1"/>
  <c r="GP39" i="1"/>
  <c r="P26" i="1"/>
  <c r="AD26" i="1"/>
  <c r="AB26" i="1"/>
  <c r="AC26" i="1"/>
  <c r="AN13" i="1"/>
  <c r="GP13" i="1"/>
  <c r="GL22" i="1"/>
  <c r="AM28" i="1"/>
  <c r="GL32" i="1"/>
  <c r="GP25" i="1"/>
  <c r="Z21" i="1"/>
  <c r="BA48" i="1"/>
  <c r="EW17" i="1"/>
  <c r="EU13" i="1"/>
  <c r="P15" i="1"/>
  <c r="AB15" i="1"/>
  <c r="AC15" i="1"/>
  <c r="GR48" i="1"/>
  <c r="AN5" i="1"/>
  <c r="EU7" i="1"/>
  <c r="FT41" i="1"/>
  <c r="BU41" i="1" s="1"/>
  <c r="BV41" i="1" s="1"/>
  <c r="V46" i="1"/>
  <c r="X46" i="1" s="1"/>
  <c r="AI46" i="1"/>
  <c r="FT18" i="1"/>
  <c r="BU18" i="1" s="1"/>
  <c r="BV18" i="1" s="1"/>
  <c r="GP16" i="1"/>
  <c r="EP25" i="1"/>
  <c r="EV25" i="1"/>
  <c r="EX25" i="1"/>
  <c r="EP39" i="1"/>
  <c r="ET39" i="1"/>
  <c r="ES39" i="1"/>
  <c r="EW39" i="1"/>
  <c r="EX39" i="1"/>
  <c r="EU39" i="1"/>
  <c r="ET34" i="1"/>
  <c r="ES34" i="1"/>
  <c r="ER34" i="1"/>
  <c r="EX34" i="1"/>
  <c r="EV34" i="1"/>
  <c r="EW34" i="1"/>
  <c r="EU34" i="1"/>
  <c r="EW33" i="1"/>
  <c r="EV33" i="1"/>
  <c r="EU33" i="1"/>
  <c r="ET33" i="1"/>
  <c r="EX33" i="1"/>
  <c r="GL46" i="1"/>
  <c r="CO40" i="1"/>
  <c r="CU40" i="1" s="1"/>
  <c r="AT40" i="1" s="1"/>
  <c r="FT26" i="1"/>
  <c r="BU26" i="1" s="1"/>
  <c r="BV26" i="1" s="1"/>
  <c r="EV19" i="1"/>
  <c r="ES25" i="1"/>
  <c r="EY11" i="1"/>
  <c r="EW15" i="1"/>
  <c r="ER12" i="1"/>
  <c r="EV10" i="1"/>
  <c r="FF48" i="1"/>
  <c r="GN13" i="1"/>
  <c r="FO48" i="1"/>
  <c r="FN48" i="1"/>
  <c r="FM48" i="1"/>
  <c r="EV18" i="1"/>
  <c r="EQ18" i="1"/>
  <c r="AH14" i="1"/>
  <c r="R14" i="1"/>
  <c r="AC21" i="1"/>
  <c r="EW7" i="1"/>
  <c r="BR47" i="1"/>
  <c r="R47" i="1"/>
  <c r="AH47" i="1"/>
  <c r="EU20" i="1"/>
  <c r="EQ25" i="1"/>
  <c r="V39" i="1"/>
  <c r="X39" i="1" s="1"/>
  <c r="AI39" i="1"/>
  <c r="FT32" i="1"/>
  <c r="BU32" i="1" s="1"/>
  <c r="BV32" i="1" s="1"/>
  <c r="AE33" i="1"/>
  <c r="Z33" i="1"/>
  <c r="CD45" i="1"/>
  <c r="CL45" i="1" s="1"/>
  <c r="AR45" i="1" s="1"/>
  <c r="R34" i="1"/>
  <c r="AH34" i="1"/>
  <c r="FT42" i="1"/>
  <c r="BU42" i="1" s="1"/>
  <c r="BV42" i="1" s="1"/>
  <c r="ES41" i="1"/>
  <c r="FT38" i="1"/>
  <c r="BU38" i="1" s="1"/>
  <c r="BV38" i="1" s="1"/>
  <c r="AE41" i="1"/>
  <c r="EW42" i="1"/>
  <c r="EU42" i="1"/>
  <c r="ES42" i="1"/>
  <c r="ER42" i="1"/>
  <c r="EV42" i="1"/>
  <c r="EX42" i="1"/>
  <c r="ET42" i="1"/>
  <c r="EQ36" i="1"/>
  <c r="EP36" i="1"/>
  <c r="EV36" i="1"/>
  <c r="EU36" i="1"/>
  <c r="ES36" i="1"/>
  <c r="ET36" i="1"/>
  <c r="ER36" i="1"/>
  <c r="BR44" i="1"/>
  <c r="R44" i="1"/>
  <c r="AH44" i="1"/>
  <c r="EY35" i="1"/>
  <c r="AB37" i="1"/>
  <c r="EX32" i="1"/>
  <c r="FP26" i="1"/>
  <c r="EU19" i="1"/>
  <c r="ER26" i="1"/>
  <c r="EW27" i="1"/>
  <c r="GD21" i="1"/>
  <c r="BQ21" i="1" s="1"/>
  <c r="V13" i="1"/>
  <c r="X13" i="1" s="1"/>
  <c r="AI13" i="1"/>
  <c r="R22" i="1"/>
  <c r="AH22" i="1"/>
  <c r="ER25" i="1"/>
  <c r="BB48" i="1"/>
  <c r="FC48" i="1"/>
  <c r="BS5" i="1"/>
  <c r="GT48" i="1"/>
  <c r="D5" i="1"/>
  <c r="AA6" i="1"/>
  <c r="FT21" i="1"/>
  <c r="BU21" i="1" s="1"/>
  <c r="BV21" i="1" s="1"/>
  <c r="CD44" i="1"/>
  <c r="CL44" i="1" s="1"/>
  <c r="AR44" i="1" s="1"/>
  <c r="BT43" i="1"/>
  <c r="BS43" i="1"/>
  <c r="AQ58" i="1"/>
  <c r="CU58" i="1"/>
  <c r="AT58" i="1" s="1"/>
  <c r="GN39" i="1"/>
  <c r="AM39" i="1" s="1"/>
  <c r="AL39" i="1"/>
  <c r="EQ32" i="1"/>
  <c r="EP32" i="1"/>
  <c r="BT45" i="1"/>
  <c r="BS45" i="1"/>
  <c r="EV30" i="1"/>
  <c r="ER47" i="1"/>
  <c r="FT37" i="1"/>
  <c r="BU37" i="1" s="1"/>
  <c r="BV37" i="1" s="1"/>
  <c r="AN40" i="1"/>
  <c r="GP40" i="1"/>
  <c r="EQ42" i="1"/>
  <c r="CO36" i="1"/>
  <c r="CU36" i="1" s="1"/>
  <c r="AT36" i="1" s="1"/>
  <c r="EV38" i="1"/>
  <c r="ET37" i="1"/>
  <c r="FT30" i="1"/>
  <c r="BU30" i="1" s="1"/>
  <c r="BV30" i="1" s="1"/>
  <c r="EQ39" i="1"/>
  <c r="FT44" i="1"/>
  <c r="BU44" i="1" s="1"/>
  <c r="BV44" i="1" s="1"/>
  <c r="AI32" i="1"/>
  <c r="V32" i="1"/>
  <c r="X32" i="1" s="1"/>
  <c r="AL38" i="1"/>
  <c r="GN38" i="1"/>
  <c r="AM38" i="1" s="1"/>
  <c r="FT19" i="1"/>
  <c r="BU19" i="1" s="1"/>
  <c r="BV19" i="1" s="1"/>
  <c r="EV26" i="1"/>
  <c r="EW25" i="1"/>
  <c r="EQ26" i="1"/>
  <c r="BR27" i="1"/>
  <c r="ET5" i="1"/>
  <c r="Z11" i="1"/>
  <c r="EX15" i="1"/>
  <c r="EW13" i="1"/>
  <c r="ET13" i="1"/>
  <c r="ES13" i="1"/>
  <c r="EQ13" i="1"/>
  <c r="EP13" i="1"/>
  <c r="AC6" i="1"/>
  <c r="P6" i="1"/>
  <c r="ER18" i="1"/>
  <c r="GD14" i="1"/>
  <c r="BQ14" i="1" s="1"/>
  <c r="GN14" i="1"/>
  <c r="AL14" i="1"/>
  <c r="CR48" i="1"/>
  <c r="GV48" i="1"/>
  <c r="ET7" i="1"/>
  <c r="GN5" i="1"/>
  <c r="R12" i="1"/>
  <c r="AH12" i="1"/>
  <c r="BR12" i="1"/>
  <c r="EQ27" i="1"/>
  <c r="ER27" i="1"/>
  <c r="EU27" i="1"/>
  <c r="FT27" i="1"/>
  <c r="BU27" i="1" s="1"/>
  <c r="BV27" i="1" s="1"/>
  <c r="EQ16" i="1"/>
  <c r="EX16" i="1"/>
  <c r="EW16" i="1"/>
  <c r="ET16" i="1"/>
  <c r="ES16" i="1"/>
  <c r="EV16" i="1"/>
  <c r="EU16" i="1"/>
  <c r="ES10" i="1"/>
  <c r="GL58" i="1"/>
  <c r="BR40" i="1"/>
  <c r="P42" i="1"/>
  <c r="AC42" i="1"/>
  <c r="EW45" i="1"/>
  <c r="ES45" i="1"/>
  <c r="EQ45" i="1"/>
  <c r="EV45" i="1"/>
  <c r="ER45" i="1"/>
  <c r="CD42" i="1"/>
  <c r="CL42" i="1" s="1"/>
  <c r="AR42" i="1" s="1"/>
  <c r="EP47" i="1"/>
  <c r="EU58" i="1"/>
  <c r="EW43" i="1"/>
  <c r="EU43" i="1"/>
  <c r="EP43" i="1"/>
  <c r="AD42" i="1"/>
  <c r="AM35" i="1"/>
  <c r="BR36" i="1"/>
  <c r="Z41" i="1"/>
  <c r="EQ33" i="1"/>
  <c r="EU30" i="1"/>
  <c r="AE39" i="1"/>
  <c r="ER40" i="1"/>
  <c r="ES30" i="1"/>
  <c r="GD24" i="1"/>
  <c r="BQ24" i="1" s="1"/>
  <c r="GN24" i="1"/>
  <c r="AL24" i="1"/>
  <c r="FP12" i="1"/>
  <c r="GN26" i="1"/>
  <c r="AL26" i="1"/>
  <c r="GD26" i="1"/>
  <c r="BQ26" i="1" s="1"/>
  <c r="FP18" i="1"/>
  <c r="R20" i="1"/>
  <c r="AH20" i="1"/>
  <c r="GD15" i="1"/>
  <c r="BQ15" i="1" s="1"/>
  <c r="BF48" i="1"/>
  <c r="FT10" i="1"/>
  <c r="BU10" i="1" s="1"/>
  <c r="BV10" i="1" s="1"/>
  <c r="ET12" i="1"/>
  <c r="FT14" i="1"/>
  <c r="BU14" i="1" s="1"/>
  <c r="BV14" i="1" s="1"/>
  <c r="GM48" i="1"/>
  <c r="EP27" i="1"/>
  <c r="FT12" i="1"/>
  <c r="BU12" i="1" s="1"/>
  <c r="BV12" i="1" s="1"/>
  <c r="CD20" i="1"/>
  <c r="CL20" i="1" s="1"/>
  <c r="AR20" i="1" s="1"/>
  <c r="GP10" i="1"/>
  <c r="AN10" i="1"/>
  <c r="EY24" i="1"/>
  <c r="AZ48" i="1"/>
  <c r="FP13" i="1"/>
  <c r="AI7" i="1"/>
  <c r="V7" i="1"/>
  <c r="X7" i="1" s="1"/>
  <c r="GH5" i="1"/>
  <c r="GH48" i="1" s="1"/>
  <c r="FP48" i="1" l="1"/>
  <c r="EY43" i="1"/>
  <c r="EY15" i="1"/>
  <c r="EY34" i="1"/>
  <c r="AC48" i="1"/>
  <c r="EY23" i="1"/>
  <c r="EY26" i="1"/>
  <c r="EY41" i="1"/>
  <c r="EY20" i="1"/>
  <c r="DD49" i="1"/>
  <c r="EY58" i="1"/>
  <c r="EY19" i="1"/>
  <c r="EY42" i="1"/>
  <c r="EY5" i="1"/>
  <c r="EY36" i="1"/>
  <c r="EY18" i="1"/>
  <c r="EY40" i="1"/>
  <c r="EY37" i="1"/>
  <c r="EY16" i="1"/>
  <c r="EY45" i="1"/>
  <c r="EY29" i="1"/>
  <c r="DB49" i="1"/>
  <c r="GL38" i="1"/>
  <c r="GL21" i="1"/>
  <c r="GP48" i="1"/>
  <c r="D48" i="1"/>
  <c r="AA5" i="1"/>
  <c r="Z5" i="1"/>
  <c r="AE5" i="1"/>
  <c r="GN45" i="1"/>
  <c r="GD45" i="1"/>
  <c r="BQ45" i="1" s="1"/>
  <c r="AL45" i="1"/>
  <c r="AN48" i="1"/>
  <c r="AL10" i="1"/>
  <c r="GN10" i="1"/>
  <c r="GD10" i="1"/>
  <c r="BQ10" i="1" s="1"/>
  <c r="AM26" i="1"/>
  <c r="GL26" i="1"/>
  <c r="AJ23" i="1"/>
  <c r="AG23" i="1"/>
  <c r="AF23" i="1"/>
  <c r="AG18" i="1"/>
  <c r="AJ18" i="1"/>
  <c r="AF18" i="1"/>
  <c r="R8" i="1"/>
  <c r="AH8" i="1"/>
  <c r="BR8" i="1"/>
  <c r="GD29" i="1"/>
  <c r="BQ29" i="1" s="1"/>
  <c r="GN29" i="1"/>
  <c r="AL29" i="1"/>
  <c r="V14" i="1"/>
  <c r="X14" i="1" s="1"/>
  <c r="AI14" i="1"/>
  <c r="EX48" i="1"/>
  <c r="ER48" i="1"/>
  <c r="ET48" i="1"/>
  <c r="DF48" i="1"/>
  <c r="CY49" i="1"/>
  <c r="AM33" i="1"/>
  <c r="GL33" i="1"/>
  <c r="R26" i="1"/>
  <c r="AH26" i="1"/>
  <c r="BR26" i="1"/>
  <c r="GL39" i="1"/>
  <c r="GN47" i="1"/>
  <c r="AL47" i="1"/>
  <c r="GD47" i="1"/>
  <c r="BQ47" i="1" s="1"/>
  <c r="AH43" i="1"/>
  <c r="BR43" i="1"/>
  <c r="R43" i="1"/>
  <c r="AJ24" i="1"/>
  <c r="AF24" i="1"/>
  <c r="AG24" i="1"/>
  <c r="AR5" i="1"/>
  <c r="AM5" i="1"/>
  <c r="R28" i="1"/>
  <c r="AH28" i="1"/>
  <c r="BR28" i="1"/>
  <c r="EY10" i="1"/>
  <c r="V37" i="1"/>
  <c r="X37" i="1" s="1"/>
  <c r="AI37" i="1"/>
  <c r="BT5" i="1"/>
  <c r="AF7" i="1"/>
  <c r="AG7" i="1"/>
  <c r="AJ7" i="1"/>
  <c r="AJ19" i="1"/>
  <c r="AG19" i="1"/>
  <c r="AF19" i="1"/>
  <c r="EY38" i="1"/>
  <c r="AJ32" i="1"/>
  <c r="AG32" i="1"/>
  <c r="AF32" i="1"/>
  <c r="EW48" i="1"/>
  <c r="GD25" i="1"/>
  <c r="BQ25" i="1" s="1"/>
  <c r="GN25" i="1"/>
  <c r="AL25" i="1"/>
  <c r="CD48" i="1"/>
  <c r="AJ39" i="1"/>
  <c r="AG39" i="1"/>
  <c r="AF39" i="1"/>
  <c r="AM13" i="1"/>
  <c r="GL13" i="1"/>
  <c r="EY25" i="1"/>
  <c r="AF45" i="1"/>
  <c r="AJ45" i="1"/>
  <c r="AG45" i="1"/>
  <c r="AM12" i="1"/>
  <c r="GL12" i="1"/>
  <c r="R5" i="1"/>
  <c r="AH5" i="1"/>
  <c r="BR5" i="1"/>
  <c r="AQ48" i="1"/>
  <c r="GN18" i="1"/>
  <c r="AL18" i="1"/>
  <c r="GD18" i="1"/>
  <c r="BQ18" i="1" s="1"/>
  <c r="AI12" i="1"/>
  <c r="V12" i="1"/>
  <c r="X12" i="1" s="1"/>
  <c r="AM24" i="1"/>
  <c r="GL24" i="1"/>
  <c r="AJ17" i="1"/>
  <c r="AG17" i="1"/>
  <c r="AF17" i="1"/>
  <c r="AL6" i="1"/>
  <c r="GN6" i="1"/>
  <c r="GD6" i="1"/>
  <c r="GF48" i="1"/>
  <c r="V41" i="1"/>
  <c r="X41" i="1" s="1"/>
  <c r="AI41" i="1"/>
  <c r="EY33" i="1"/>
  <c r="R29" i="1"/>
  <c r="AH29" i="1"/>
  <c r="BR29" i="1"/>
  <c r="R30" i="1"/>
  <c r="AH30" i="1"/>
  <c r="BR30" i="1"/>
  <c r="GN20" i="1"/>
  <c r="AL20" i="1"/>
  <c r="GD20" i="1"/>
  <c r="BQ20" i="1" s="1"/>
  <c r="EY47" i="1"/>
  <c r="R15" i="1"/>
  <c r="AH15" i="1"/>
  <c r="BR15" i="1"/>
  <c r="AM15" i="1"/>
  <c r="GL15" i="1"/>
  <c r="AM14" i="1"/>
  <c r="GL14" i="1"/>
  <c r="EY8" i="1"/>
  <c r="AL16" i="1"/>
  <c r="GN16" i="1"/>
  <c r="GD16" i="1"/>
  <c r="BQ16" i="1" s="1"/>
  <c r="GN41" i="1"/>
  <c r="AL41" i="1"/>
  <c r="GD41" i="1"/>
  <c r="BQ41" i="1" s="1"/>
  <c r="V36" i="1"/>
  <c r="X36" i="1" s="1"/>
  <c r="AI36" i="1"/>
  <c r="EY17" i="1"/>
  <c r="AF58" i="1"/>
  <c r="AJ58" i="1"/>
  <c r="AG58" i="1"/>
  <c r="GD31" i="1"/>
  <c r="BQ31" i="1" s="1"/>
  <c r="GN31" i="1"/>
  <c r="AL31" i="1"/>
  <c r="AM36" i="1"/>
  <c r="GL36" i="1"/>
  <c r="EY12" i="1"/>
  <c r="EY27" i="1"/>
  <c r="GL5" i="1"/>
  <c r="EY30" i="1"/>
  <c r="R6" i="1"/>
  <c r="AH6" i="1"/>
  <c r="BR6" i="1"/>
  <c r="V35" i="1"/>
  <c r="X35" i="1" s="1"/>
  <c r="AI35" i="1"/>
  <c r="AF16" i="1"/>
  <c r="AJ16" i="1"/>
  <c r="AG16" i="1"/>
  <c r="AX48" i="1"/>
  <c r="EY39" i="1"/>
  <c r="AI40" i="1"/>
  <c r="V40" i="1"/>
  <c r="X40" i="1" s="1"/>
  <c r="EV48" i="1"/>
  <c r="GN44" i="1"/>
  <c r="AL44" i="1"/>
  <c r="GD44" i="1"/>
  <c r="BQ44" i="1" s="1"/>
  <c r="AJ13" i="1"/>
  <c r="AG13" i="1"/>
  <c r="AF13" i="1"/>
  <c r="AI47" i="1"/>
  <c r="V47" i="1"/>
  <c r="X47" i="1" s="1"/>
  <c r="P48" i="1"/>
  <c r="AM37" i="1"/>
  <c r="GL37" i="1"/>
  <c r="EY46" i="1"/>
  <c r="GN19" i="1"/>
  <c r="AL19" i="1"/>
  <c r="GD19" i="1"/>
  <c r="BQ19" i="1" s="1"/>
  <c r="V34" i="1"/>
  <c r="X34" i="1" s="1"/>
  <c r="AI34" i="1"/>
  <c r="EY7" i="1"/>
  <c r="EP48" i="1"/>
  <c r="DA49" i="1"/>
  <c r="AJ46" i="1"/>
  <c r="AG46" i="1"/>
  <c r="AF46" i="1"/>
  <c r="R21" i="1"/>
  <c r="AH21" i="1"/>
  <c r="BR21" i="1"/>
  <c r="EY14" i="1"/>
  <c r="AJ31" i="1"/>
  <c r="AF31" i="1"/>
  <c r="AG31" i="1"/>
  <c r="V27" i="1"/>
  <c r="X27" i="1" s="1"/>
  <c r="AI27" i="1"/>
  <c r="AL8" i="1"/>
  <c r="GN8" i="1"/>
  <c r="GD8" i="1"/>
  <c r="BQ8" i="1" s="1"/>
  <c r="AM27" i="1"/>
  <c r="GL27" i="1"/>
  <c r="EY32" i="1"/>
  <c r="AM43" i="1"/>
  <c r="GL43" i="1"/>
  <c r="BT48" i="1"/>
  <c r="BS48" i="1"/>
  <c r="AL42" i="1"/>
  <c r="GD42" i="1"/>
  <c r="BQ42" i="1" s="1"/>
  <c r="GN42" i="1"/>
  <c r="V22" i="1"/>
  <c r="X22" i="1" s="1"/>
  <c r="AI22" i="1"/>
  <c r="R42" i="1"/>
  <c r="AH42" i="1"/>
  <c r="BR42" i="1"/>
  <c r="EY13" i="1"/>
  <c r="EQ48" i="1"/>
  <c r="AI33" i="1"/>
  <c r="V33" i="1"/>
  <c r="X33" i="1" s="1"/>
  <c r="CZ49" i="1"/>
  <c r="V38" i="1"/>
  <c r="X38" i="1" s="1"/>
  <c r="AI38" i="1"/>
  <c r="FT48" i="1"/>
  <c r="BU5" i="1"/>
  <c r="BV5" i="1" s="1"/>
  <c r="AJ10" i="1"/>
  <c r="AG10" i="1"/>
  <c r="AF10" i="1"/>
  <c r="CO48" i="1"/>
  <c r="CU5" i="1"/>
  <c r="V44" i="1"/>
  <c r="X44" i="1" s="1"/>
  <c r="AI44" i="1"/>
  <c r="AI20" i="1"/>
  <c r="V20" i="1"/>
  <c r="X20" i="1" s="1"/>
  <c r="ES48" i="1"/>
  <c r="AJ11" i="1"/>
  <c r="AG11" i="1"/>
  <c r="AF11" i="1"/>
  <c r="V9" i="1"/>
  <c r="X9" i="1" s="1"/>
  <c r="AI9" i="1"/>
  <c r="BU48" i="1" l="1"/>
  <c r="BV48" i="1" s="1"/>
  <c r="FV48" i="1"/>
  <c r="R48" i="1"/>
  <c r="AH48" i="1"/>
  <c r="BR48" i="1"/>
  <c r="AJ41" i="1"/>
  <c r="AG41" i="1"/>
  <c r="AF41" i="1"/>
  <c r="V43" i="1"/>
  <c r="X43" i="1" s="1"/>
  <c r="AI43" i="1"/>
  <c r="AM31" i="1"/>
  <c r="GL31" i="1"/>
  <c r="AJ36" i="1"/>
  <c r="AG36" i="1"/>
  <c r="AF36" i="1"/>
  <c r="AM25" i="1"/>
  <c r="GL25" i="1"/>
  <c r="AJ37" i="1"/>
  <c r="AG37" i="1"/>
  <c r="AF37" i="1"/>
  <c r="AM29" i="1"/>
  <c r="GL29" i="1"/>
  <c r="EY48" i="1"/>
  <c r="V15" i="1"/>
  <c r="X15" i="1" s="1"/>
  <c r="AI15" i="1"/>
  <c r="V6" i="1"/>
  <c r="X6" i="1" s="1"/>
  <c r="AI6" i="1"/>
  <c r="AM47" i="1"/>
  <c r="GL47" i="1"/>
  <c r="AM18" i="1"/>
  <c r="GL18" i="1"/>
  <c r="AM8" i="1"/>
  <c r="GL8" i="1"/>
  <c r="V29" i="1"/>
  <c r="X29" i="1" s="1"/>
  <c r="AI29" i="1"/>
  <c r="AM10" i="1"/>
  <c r="GL10" i="1"/>
  <c r="CU48" i="1"/>
  <c r="AT5" i="1"/>
  <c r="AM42" i="1"/>
  <c r="GL42" i="1"/>
  <c r="AM44" i="1"/>
  <c r="GL44" i="1"/>
  <c r="AM41" i="1"/>
  <c r="GL41" i="1"/>
  <c r="AL48" i="1"/>
  <c r="AG14" i="1"/>
  <c r="AF14" i="1"/>
  <c r="AJ14" i="1"/>
  <c r="AM6" i="1"/>
  <c r="GL6" i="1"/>
  <c r="AM19" i="1"/>
  <c r="GL19" i="1"/>
  <c r="V28" i="1"/>
  <c r="X28" i="1" s="1"/>
  <c r="AI28" i="1"/>
  <c r="AI8" i="1"/>
  <c r="V8" i="1"/>
  <c r="X8" i="1" s="1"/>
  <c r="AM45" i="1"/>
  <c r="GL45" i="1"/>
  <c r="AJ47" i="1"/>
  <c r="AG47" i="1"/>
  <c r="AF47" i="1"/>
  <c r="AI5" i="1"/>
  <c r="V5" i="1"/>
  <c r="X5" i="1" s="1"/>
  <c r="AF27" i="1"/>
  <c r="AJ27" i="1"/>
  <c r="AG27" i="1"/>
  <c r="AM16" i="1"/>
  <c r="GL16" i="1"/>
  <c r="AI30" i="1"/>
  <c r="V30" i="1"/>
  <c r="X30" i="1" s="1"/>
  <c r="V26" i="1"/>
  <c r="X26" i="1" s="1"/>
  <c r="AI26" i="1"/>
  <c r="AI42" i="1"/>
  <c r="V42" i="1"/>
  <c r="X42" i="1" s="1"/>
  <c r="AM20" i="1"/>
  <c r="GL20" i="1"/>
  <c r="AJ12" i="1"/>
  <c r="AG12" i="1"/>
  <c r="AF12" i="1"/>
  <c r="GN48" i="1"/>
  <c r="AM48" i="1" s="1"/>
  <c r="AJ35" i="1"/>
  <c r="AG35" i="1"/>
  <c r="AF35" i="1"/>
  <c r="BQ6" i="1"/>
  <c r="GD48" i="1"/>
  <c r="AJ40" i="1"/>
  <c r="AG40" i="1"/>
  <c r="AF40" i="1"/>
  <c r="AJ9" i="1"/>
  <c r="AG9" i="1"/>
  <c r="AF9" i="1"/>
  <c r="FW48" i="1"/>
  <c r="FX48" i="1" s="1"/>
  <c r="V21" i="1"/>
  <c r="X21" i="1" s="1"/>
  <c r="AI21" i="1"/>
  <c r="AJ33" i="1"/>
  <c r="AG33" i="1"/>
  <c r="AF33" i="1"/>
  <c r="AJ20" i="1"/>
  <c r="AF20" i="1"/>
  <c r="AG20" i="1"/>
  <c r="AJ44" i="1"/>
  <c r="AG44" i="1"/>
  <c r="AF44" i="1"/>
  <c r="AF34" i="1"/>
  <c r="AJ34" i="1"/>
  <c r="AG34" i="1"/>
  <c r="AG22" i="1"/>
  <c r="AF22" i="1"/>
  <c r="AJ22" i="1"/>
  <c r="AJ38" i="1"/>
  <c r="AG38" i="1"/>
  <c r="AF38" i="1"/>
  <c r="DF49" i="1"/>
  <c r="Z48" i="1"/>
  <c r="AA48" i="1"/>
  <c r="AE48" i="1"/>
  <c r="GL48" i="1" l="1"/>
  <c r="AJ21" i="1"/>
  <c r="AG21" i="1"/>
  <c r="AF21" i="1"/>
  <c r="AJ42" i="1"/>
  <c r="AG42" i="1"/>
  <c r="AF42" i="1"/>
  <c r="AJ8" i="1"/>
  <c r="AG8" i="1"/>
  <c r="AF8" i="1"/>
  <c r="AJ30" i="1"/>
  <c r="AG30" i="1"/>
  <c r="AF30" i="1"/>
  <c r="AF6" i="1"/>
  <c r="AJ6" i="1"/>
  <c r="AG6" i="1"/>
  <c r="BQ48" i="1"/>
  <c r="AJ28" i="1"/>
  <c r="AG28" i="1"/>
  <c r="AF28" i="1"/>
  <c r="AF43" i="1"/>
  <c r="AJ43" i="1"/>
  <c r="AG43" i="1"/>
  <c r="AJ15" i="1"/>
  <c r="AG15" i="1"/>
  <c r="AF15" i="1"/>
  <c r="AJ26" i="1"/>
  <c r="AG26" i="1"/>
  <c r="AF26" i="1"/>
  <c r="AJ5" i="1"/>
  <c r="AG5" i="1"/>
  <c r="AF5" i="1"/>
  <c r="AJ29" i="1"/>
  <c r="AF29" i="1"/>
  <c r="AG29" i="1"/>
  <c r="AI48" i="1"/>
  <c r="V48" i="1"/>
  <c r="X48" i="1" l="1"/>
  <c r="AJ48" i="1" l="1"/>
  <c r="AG48" i="1"/>
  <c r="AF48" i="1"/>
  <c r="CJ48" i="1" l="1"/>
  <c r="CH48" i="1"/>
  <c r="CL6" i="1" l="1"/>
  <c r="CL25" i="1" l="1"/>
  <c r="CL33" i="1" l="1"/>
  <c r="CK48" i="1"/>
  <c r="CL48" i="1" l="1"/>
  <c r="AT25" i="1" l="1"/>
  <c r="AR25" i="1"/>
  <c r="CW48" i="1" l="1"/>
  <c r="AT6" i="1"/>
  <c r="AR6" i="1"/>
  <c r="AT33" i="1" l="1"/>
  <c r="AR33" i="1"/>
  <c r="AR48" i="1"/>
  <c r="AT48" i="1"/>
</calcChain>
</file>

<file path=xl/sharedStrings.xml><?xml version="1.0" encoding="utf-8"?>
<sst xmlns="http://schemas.openxmlformats.org/spreadsheetml/2006/main" count="456" uniqueCount="240">
  <si>
    <t>Eika banks 2Q25 figures</t>
  </si>
  <si>
    <t>Key balance sheet figures</t>
  </si>
  <si>
    <t>P&amp;L</t>
  </si>
  <si>
    <t>P&amp;L key figures</t>
  </si>
  <si>
    <t>Liquidity</t>
  </si>
  <si>
    <t>Capital ratios</t>
  </si>
  <si>
    <t>Consolidated capital ratios*</t>
  </si>
  <si>
    <t>Pilar 2</t>
  </si>
  <si>
    <t>Credit quality</t>
  </si>
  <si>
    <t>Balance sheet 30.06.2025</t>
  </si>
  <si>
    <t>External funding (30.06.2025) - maturity within</t>
  </si>
  <si>
    <t>Additional information</t>
  </si>
  <si>
    <t>Sector breakdown loan book - 2024 numbers</t>
  </si>
  <si>
    <t>Bank</t>
  </si>
  <si>
    <t>Total assets</t>
  </si>
  <si>
    <t>Average assets</t>
  </si>
  <si>
    <t>Gross loans</t>
  </si>
  <si>
    <t>Transfer to CB</t>
  </si>
  <si>
    <t>Deposits</t>
  </si>
  <si>
    <t>Total assets incl. CB</t>
  </si>
  <si>
    <t>Total loans incl. CB</t>
  </si>
  <si>
    <t>NII</t>
  </si>
  <si>
    <t>NCI</t>
  </si>
  <si>
    <t>Other income</t>
  </si>
  <si>
    <t>Core income</t>
  </si>
  <si>
    <t>Total operating expenses</t>
  </si>
  <si>
    <t>Core earnings before impairment</t>
  </si>
  <si>
    <t>Impairment of loans</t>
  </si>
  <si>
    <t>Core earnings</t>
  </si>
  <si>
    <t>Dividends &amp; assoc. comp.</t>
  </si>
  <si>
    <t>Net finance</t>
  </si>
  <si>
    <t>One-offs</t>
  </si>
  <si>
    <t>Pre tax profit</t>
  </si>
  <si>
    <t>Taxes</t>
  </si>
  <si>
    <t>Net profit</t>
  </si>
  <si>
    <t>NII in % of average assets</t>
  </si>
  <si>
    <t>NCI in % of average assets</t>
  </si>
  <si>
    <t>C/I</t>
  </si>
  <si>
    <t>C/I adj. net finance</t>
  </si>
  <si>
    <t>C/I adj. net finance and dividends</t>
  </si>
  <si>
    <t>Costs in % of average assets</t>
  </si>
  <si>
    <t>Net profit in % of average assets</t>
  </si>
  <si>
    <t>Net profit in % of ARWA</t>
  </si>
  <si>
    <t>PPI/ARWA</t>
  </si>
  <si>
    <t>Core earnings in % ARVW</t>
  </si>
  <si>
    <t>RoE</t>
  </si>
  <si>
    <t>Growth in loans (own book)</t>
  </si>
  <si>
    <t>Growth in loans incl. CB</t>
  </si>
  <si>
    <t>Growth in deposits</t>
  </si>
  <si>
    <t>Deposit ratio</t>
  </si>
  <si>
    <t>Deposit over total funding</t>
  </si>
  <si>
    <t>(Market fund. - liquid assets)/Total assets</t>
  </si>
  <si>
    <t>Market funds incl. 50% of EBK/total assets</t>
  </si>
  <si>
    <t>Liquid assets/total assets</t>
  </si>
  <si>
    <t>LCR 2Q25</t>
  </si>
  <si>
    <t>NSFR 2024</t>
  </si>
  <si>
    <t>Equity ratio</t>
  </si>
  <si>
    <t>Leverage ratio</t>
  </si>
  <si>
    <t>CET1 ratio</t>
  </si>
  <si>
    <t>Core capital ratio</t>
  </si>
  <si>
    <t>Capital ratio</t>
  </si>
  <si>
    <t>Consolidated CET1 ratio</t>
  </si>
  <si>
    <t>Cons. core capital ratio</t>
  </si>
  <si>
    <t>Consolidated capital ratio</t>
  </si>
  <si>
    <t>Pilar 2                consolidated</t>
  </si>
  <si>
    <t>Of which CET1</t>
  </si>
  <si>
    <t>Of which core capital</t>
  </si>
  <si>
    <t>P2G</t>
  </si>
  <si>
    <t>CET1 margin to requirements</t>
  </si>
  <si>
    <t>Core capital margin to requirements</t>
  </si>
  <si>
    <t>Capital margin to requirements</t>
  </si>
  <si>
    <t>Loan loss provision ratio</t>
  </si>
  <si>
    <t>Loan loss provision/pre loss income</t>
  </si>
  <si>
    <t>Problem loans/gross loans</t>
  </si>
  <si>
    <t>Problem loans/ (Equity + LLR)</t>
  </si>
  <si>
    <t>Share of retail loans (own book)</t>
  </si>
  <si>
    <t>Share of retail loans (incl. EBK))</t>
  </si>
  <si>
    <t>Cash</t>
  </si>
  <si>
    <t>Deposits with CB and credit inst.</t>
  </si>
  <si>
    <t>Deposits with CB and loans to credit inst.</t>
  </si>
  <si>
    <t>Gross loans to customers</t>
  </si>
  <si>
    <t>Stage 3 (Individual impairments)</t>
  </si>
  <si>
    <t>Stage 1 &amp; 2 (Group impairments)</t>
  </si>
  <si>
    <t>Net loans to customers</t>
  </si>
  <si>
    <t>Commercial paper and bonds</t>
  </si>
  <si>
    <t>Share- holdings</t>
  </si>
  <si>
    <t>Total bonds and share- holdings</t>
  </si>
  <si>
    <t>Associated companies</t>
  </si>
  <si>
    <t>Intangible assets</t>
  </si>
  <si>
    <t>Fixed assets</t>
  </si>
  <si>
    <t>Other assets</t>
  </si>
  <si>
    <t>Due to credit institutions</t>
  </si>
  <si>
    <t>Deposits from customers</t>
  </si>
  <si>
    <t>Total deposits</t>
  </si>
  <si>
    <t>Debt securities issued</t>
  </si>
  <si>
    <t>Other debt</t>
  </si>
  <si>
    <t>Total debt</t>
  </si>
  <si>
    <t>Hybrid and subordinated capital</t>
  </si>
  <si>
    <t>Total equity</t>
  </si>
  <si>
    <t>Total debt and equity</t>
  </si>
  <si>
    <t>Liquid assets</t>
  </si>
  <si>
    <t>30.06.2027 - 30.06.2026</t>
  </si>
  <si>
    <t>30.06.2028- 30.06.2027</t>
  </si>
  <si>
    <t>30.06.2029- 30.06.2028</t>
  </si>
  <si>
    <t>30.06.2030- 30.06.2029</t>
  </si>
  <si>
    <t>From 30.06.2030</t>
  </si>
  <si>
    <t>Total</t>
  </si>
  <si>
    <t>External funding in % of total assets</t>
  </si>
  <si>
    <t>Auditing firm</t>
  </si>
  <si>
    <t>Employees</t>
  </si>
  <si>
    <t>Branches</t>
  </si>
  <si>
    <t>Alliance</t>
  </si>
  <si>
    <t>Listed on OSE with debt inst.</t>
  </si>
  <si>
    <t>EC/stocks bank</t>
  </si>
  <si>
    <t>ECC-ratio (2024)</t>
  </si>
  <si>
    <t>Rating</t>
  </si>
  <si>
    <t>Grade</t>
  </si>
  <si>
    <t>CET1 capital</t>
  </si>
  <si>
    <t>Core capital</t>
  </si>
  <si>
    <t>Total capital</t>
  </si>
  <si>
    <t>Average RWA (ARWA)</t>
  </si>
  <si>
    <t>RWA 2Q24</t>
  </si>
  <si>
    <t>RWA 2Q25</t>
  </si>
  <si>
    <t>Consolidated CET1 capital</t>
  </si>
  <si>
    <t>Consolidated core capital</t>
  </si>
  <si>
    <t>Consolidated capital</t>
  </si>
  <si>
    <t>Consolidated RWA</t>
  </si>
  <si>
    <t>Agriculture</t>
  </si>
  <si>
    <t>Industry</t>
  </si>
  <si>
    <t>Building and construction</t>
  </si>
  <si>
    <t>Trade and hotels</t>
  </si>
  <si>
    <t>Real estate business</t>
  </si>
  <si>
    <t>Services</t>
  </si>
  <si>
    <t>Transport</t>
  </si>
  <si>
    <t>Other</t>
  </si>
  <si>
    <t>Retail lending</t>
  </si>
  <si>
    <t>Total lending 2024</t>
  </si>
  <si>
    <t>NPL</t>
  </si>
  <si>
    <t>Doubtfull loans</t>
  </si>
  <si>
    <t>Problem loans</t>
  </si>
  <si>
    <t>Sum impairments</t>
  </si>
  <si>
    <t>Gross lending in stage 1</t>
  </si>
  <si>
    <t>Gross lending in stage 2</t>
  </si>
  <si>
    <t>Gross lending in stage 3</t>
  </si>
  <si>
    <t>Gross lending in % - stage 1</t>
  </si>
  <si>
    <t>Gross lending in % - stage 2</t>
  </si>
  <si>
    <t>Gross lending in % - stage 3</t>
  </si>
  <si>
    <t>Retail loans (own book)</t>
  </si>
  <si>
    <t>Corporate loans</t>
  </si>
  <si>
    <t>Gross loans (own book)</t>
  </si>
  <si>
    <t>Average Equity</t>
  </si>
  <si>
    <t>Equity 2Q24</t>
  </si>
  <si>
    <t>Equity 2Q25</t>
  </si>
  <si>
    <t>Average loans</t>
  </si>
  <si>
    <t>Gross loans 2Q24</t>
  </si>
  <si>
    <t>Gross loans 2Q25</t>
  </si>
  <si>
    <t>Transfer - average</t>
  </si>
  <si>
    <t>Transfer to CB 2Q24</t>
  </si>
  <si>
    <t>Transfer to CB 2Q25</t>
  </si>
  <si>
    <t>Average loans transferred</t>
  </si>
  <si>
    <t>Average deposits</t>
  </si>
  <si>
    <t>Deposits 2Q24</t>
  </si>
  <si>
    <t>Deposits 2Q25</t>
  </si>
  <si>
    <t>Average total assets</t>
  </si>
  <si>
    <t>Total assets 2Q24</t>
  </si>
  <si>
    <t>Total assets 2Q25</t>
  </si>
  <si>
    <t>RWA/total assets 2Q25</t>
  </si>
  <si>
    <t>Agder Sparebank</t>
  </si>
  <si>
    <t>Eika</t>
  </si>
  <si>
    <t>yes</t>
  </si>
  <si>
    <t>EC</t>
  </si>
  <si>
    <t>Aurskog Sparebank</t>
  </si>
  <si>
    <t>EC (listed)</t>
  </si>
  <si>
    <t>Scope</t>
  </si>
  <si>
    <t>A-</t>
  </si>
  <si>
    <t>Berg Sparebank</t>
  </si>
  <si>
    <t>Bien Sparebank</t>
  </si>
  <si>
    <t>Stocks</t>
  </si>
  <si>
    <t>NCR</t>
  </si>
  <si>
    <t>BBB+</t>
  </si>
  <si>
    <t>Birkenes Sparebank</t>
  </si>
  <si>
    <t>Bjugn Sparebank</t>
  </si>
  <si>
    <t>Etnedal Sparebank</t>
  </si>
  <si>
    <t>Evje og Hornnes Sparebank</t>
  </si>
  <si>
    <t>Gildeskål Sparebank</t>
  </si>
  <si>
    <t>Grong Sparebank</t>
  </si>
  <si>
    <t>Grue Sparebank</t>
  </si>
  <si>
    <t>Haltdalen Sparebank</t>
  </si>
  <si>
    <t>Haugesund Sparebank</t>
  </si>
  <si>
    <t>Hegra Sparebank</t>
  </si>
  <si>
    <t>Høland og Setskog Sparebank</t>
  </si>
  <si>
    <t>Jernbanepersonalets Sparebank</t>
  </si>
  <si>
    <t>Jæren Sparebank</t>
  </si>
  <si>
    <t>Kvinesdal Sparebank</t>
  </si>
  <si>
    <t>Marker og Eidsberg Sparebank</t>
  </si>
  <si>
    <t>Melhus Sparebank</t>
  </si>
  <si>
    <t>Odal Sparebank</t>
  </si>
  <si>
    <t>Oppdalsbanken</t>
  </si>
  <si>
    <t>Orkla Sparebank</t>
  </si>
  <si>
    <t>Oslofjord Sparebank</t>
  </si>
  <si>
    <t>Rindal Sparebank</t>
  </si>
  <si>
    <t>Rogaland Sparebank</t>
  </si>
  <si>
    <t>Romerike Sparebank</t>
  </si>
  <si>
    <t>Rørosbanken Røros Sparebank</t>
  </si>
  <si>
    <t>Skagerrak Sparebank</t>
  </si>
  <si>
    <t>Skudenes &amp; Aakra Sparebank</t>
  </si>
  <si>
    <t>Skue Sparebank</t>
  </si>
  <si>
    <t>Sogn Sparebank</t>
  </si>
  <si>
    <t>Soknedal Sparebank</t>
  </si>
  <si>
    <t>Sparebanken Narvik</t>
  </si>
  <si>
    <t>Strømmen Sparebank</t>
  </si>
  <si>
    <t>Tinde Sparebank</t>
  </si>
  <si>
    <t>Tinn Sparebank</t>
  </si>
  <si>
    <t>Trøgstad Sparebank</t>
  </si>
  <si>
    <t>Trøndelag Sparebank</t>
  </si>
  <si>
    <t>Valdres Sparebank</t>
  </si>
  <si>
    <t>Valle Sparebank</t>
  </si>
  <si>
    <t>Vekselbanken</t>
  </si>
  <si>
    <t>Stocks listed</t>
  </si>
  <si>
    <t>Ørskog Sparebank</t>
  </si>
  <si>
    <t>Eika total</t>
  </si>
  <si>
    <t>Consolidated capital ratios* = bank + Eika Boligkreditt + Eika Gruppen</t>
  </si>
  <si>
    <t/>
  </si>
  <si>
    <t>Tysnes Sparebank</t>
  </si>
  <si>
    <t>NM</t>
  </si>
  <si>
    <t>Vekselbanken - Voss Veksel og Landmandsbank</t>
  </si>
  <si>
    <t>Transferred volumes (CB) in Haugesund Spb. and Skudenes &amp; Aakra Spb. - Verd Boligkreditt</t>
  </si>
  <si>
    <t>Deposits in the central bank booked under "cash" in column BX</t>
  </si>
  <si>
    <t>There is a minor discrepancy between gross lending on the balance sheet (column E) and volume in stages 1 to 3 (column FM). The discrepancy is mainly due to some banks not including loans measured at fair value in stages 1 to 3.</t>
  </si>
  <si>
    <t>RSM Norge AS</t>
  </si>
  <si>
    <t>Growth 2Q245 - 2Q24 (YoY)</t>
  </si>
  <si>
    <t>Figures for Tysnes Spb. isolated. Tysnes Spb. merged with Haugesund Spb. on September 2, 2025. The figures for Tysnes Spb. are included in Haugesund Spb. numbers</t>
  </si>
  <si>
    <t xml:space="preserve">Revisorkonsult </t>
  </si>
  <si>
    <t xml:space="preserve">Ernst &amp; Young </t>
  </si>
  <si>
    <t>KPMG</t>
  </si>
  <si>
    <t xml:space="preserve">Pricewaterhousecoopers </t>
  </si>
  <si>
    <t xml:space="preserve">Deloitte </t>
  </si>
  <si>
    <t>BDO AS</t>
  </si>
  <si>
    <t>Total loans incl. CB 2Q24</t>
  </si>
  <si>
    <t>Total loans incl. CB 2Q25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</si>
</sst>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kr&quot;\ * #,##0.00_-;\-&quot;kr&quot;\ * #,##0.00_-;_-&quot;kr&quot;\ * &quot;-&quot;??_-;_-@_-"/>
    <numFmt numFmtId="164" formatCode="d/m/yy;@"/>
    <numFmt numFmtId="165" formatCode="_ [$€-2]\ * #,##0.00_ ;_ [$€-2]\ * \-#,##0.00_ ;_ [$€-2]\ * &quot;-&quot;??_ ;_ @_ "/>
    <numFmt numFmtId="166" formatCode="#,##0.0"/>
    <numFmt numFmtId="167" formatCode="0.0\ %"/>
    <numFmt numFmtId="168" formatCode="0.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Garamond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Times New Roman"/>
      <family val="1"/>
    </font>
    <font>
      <sz val="10"/>
      <color theme="7" tint="-0.49998474074526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0C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6">
    <xf numFmtId="0" fontId="0" fillId="0" borderId="0" xfId="0"/>
    <xf numFmtId="0" fontId="0" fillId="2" borderId="0" xfId="0" applyFill="1"/>
    <xf numFmtId="0" fontId="2" fillId="2" borderId="0" xfId="0" applyFont="1" applyFill="1"/>
    <xf numFmtId="1" fontId="3" fillId="2" borderId="0" xfId="0" applyNumberFormat="1" applyFont="1" applyFill="1"/>
    <xf numFmtId="1" fontId="0" fillId="2" borderId="0" xfId="0" applyNumberFormat="1" applyFill="1"/>
    <xf numFmtId="0" fontId="3" fillId="2" borderId="0" xfId="0" applyFont="1" applyFill="1"/>
    <xf numFmtId="0" fontId="4" fillId="2" borderId="0" xfId="0" applyFont="1" applyFill="1"/>
    <xf numFmtId="1" fontId="5" fillId="2" borderId="0" xfId="0" applyNumberFormat="1" applyFont="1" applyFill="1"/>
    <xf numFmtId="0" fontId="5" fillId="2" borderId="0" xfId="0" applyFont="1" applyFill="1"/>
    <xf numFmtId="10" fontId="5" fillId="2" borderId="0" xfId="1" applyNumberFormat="1" applyFont="1" applyFill="1"/>
    <xf numFmtId="0" fontId="6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164" fontId="5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5" fillId="2" borderId="5" xfId="2" applyNumberFormat="1" applyFont="1" applyFill="1" applyBorder="1" applyAlignment="1" applyProtection="1">
      <alignment horizontal="left" vertical="top"/>
    </xf>
    <xf numFmtId="3" fontId="5" fillId="2" borderId="7" xfId="1" applyNumberFormat="1" applyFont="1" applyFill="1" applyBorder="1" applyAlignment="1">
      <alignment horizontal="right"/>
    </xf>
    <xf numFmtId="3" fontId="5" fillId="2" borderId="0" xfId="1" applyNumberFormat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166" fontId="5" fillId="2" borderId="7" xfId="1" applyNumberFormat="1" applyFont="1" applyFill="1" applyBorder="1" applyAlignment="1">
      <alignment horizontal="right"/>
    </xf>
    <xf numFmtId="166" fontId="5" fillId="2" borderId="0" xfId="1" applyNumberFormat="1" applyFont="1" applyFill="1" applyBorder="1" applyAlignment="1">
      <alignment horizontal="right"/>
    </xf>
    <xf numFmtId="166" fontId="5" fillId="3" borderId="0" xfId="1" applyNumberFormat="1" applyFont="1" applyFill="1" applyBorder="1" applyAlignment="1">
      <alignment horizontal="right"/>
    </xf>
    <xf numFmtId="166" fontId="5" fillId="3" borderId="6" xfId="1" applyNumberFormat="1" applyFont="1" applyFill="1" applyBorder="1" applyAlignment="1">
      <alignment horizontal="right"/>
    </xf>
    <xf numFmtId="10" fontId="5" fillId="2" borderId="7" xfId="1" applyNumberFormat="1" applyFont="1" applyFill="1" applyBorder="1" applyAlignment="1">
      <alignment horizontal="right"/>
    </xf>
    <xf numFmtId="10" fontId="5" fillId="2" borderId="0" xfId="1" applyNumberFormat="1" applyFont="1" applyFill="1" applyBorder="1" applyAlignment="1">
      <alignment horizontal="right"/>
    </xf>
    <xf numFmtId="167" fontId="5" fillId="2" borderId="0" xfId="1" applyNumberFormat="1" applyFont="1" applyFill="1" applyBorder="1" applyAlignment="1">
      <alignment horizontal="right"/>
    </xf>
    <xf numFmtId="167" fontId="5" fillId="2" borderId="6" xfId="1" applyNumberFormat="1" applyFont="1" applyFill="1" applyBorder="1" applyAlignment="1">
      <alignment horizontal="right"/>
    </xf>
    <xf numFmtId="166" fontId="5" fillId="2" borderId="0" xfId="1" applyNumberFormat="1" applyFont="1" applyFill="1" applyBorder="1" applyAlignment="1">
      <alignment horizontal="left"/>
    </xf>
    <xf numFmtId="167" fontId="5" fillId="2" borderId="7" xfId="1" applyNumberFormat="1" applyFont="1" applyFill="1" applyBorder="1" applyAlignment="1">
      <alignment horizontal="right"/>
    </xf>
    <xf numFmtId="9" fontId="5" fillId="2" borderId="0" xfId="1" applyFont="1" applyFill="1" applyBorder="1" applyAlignment="1">
      <alignment horizontal="right"/>
    </xf>
    <xf numFmtId="9" fontId="5" fillId="2" borderId="6" xfId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7" fontId="5" fillId="2" borderId="8" xfId="1" applyNumberFormat="1" applyFont="1" applyFill="1" applyBorder="1" applyAlignment="1">
      <alignment horizontal="right"/>
    </xf>
    <xf numFmtId="167" fontId="5" fillId="2" borderId="9" xfId="1" applyNumberFormat="1" applyFont="1" applyFill="1" applyBorder="1" applyAlignment="1">
      <alignment horizontal="right"/>
    </xf>
    <xf numFmtId="166" fontId="5" fillId="2" borderId="6" xfId="1" applyNumberFormat="1" applyFont="1" applyFill="1" applyBorder="1" applyAlignment="1">
      <alignment horizontal="right"/>
    </xf>
    <xf numFmtId="166" fontId="5" fillId="2" borderId="5" xfId="1" applyNumberFormat="1" applyFont="1" applyFill="1" applyBorder="1" applyAlignment="1">
      <alignment horizontal="right"/>
    </xf>
    <xf numFmtId="3" fontId="5" fillId="2" borderId="7" xfId="0" applyNumberFormat="1" applyFont="1" applyFill="1" applyBorder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5" fillId="2" borderId="6" xfId="0" applyNumberFormat="1" applyFont="1" applyFill="1" applyBorder="1" applyAlignment="1">
      <alignment horizontal="right"/>
    </xf>
    <xf numFmtId="3" fontId="5" fillId="2" borderId="7" xfId="0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167" fontId="5" fillId="2" borderId="10" xfId="1" applyNumberFormat="1" applyFont="1" applyFill="1" applyBorder="1" applyAlignment="1">
      <alignment horizontal="right"/>
    </xf>
    <xf numFmtId="3" fontId="5" fillId="2" borderId="10" xfId="1" applyNumberFormat="1" applyFont="1" applyFill="1" applyBorder="1" applyAlignment="1">
      <alignment horizontal="right"/>
    </xf>
    <xf numFmtId="3" fontId="5" fillId="2" borderId="11" xfId="1" applyNumberFormat="1" applyFont="1" applyFill="1" applyBorder="1" applyAlignment="1">
      <alignment horizontal="right"/>
    </xf>
    <xf numFmtId="3" fontId="5" fillId="2" borderId="8" xfId="1" applyNumberFormat="1" applyFont="1" applyFill="1" applyBorder="1" applyAlignment="1">
      <alignment horizontal="right"/>
    </xf>
    <xf numFmtId="166" fontId="9" fillId="2" borderId="7" xfId="3" applyNumberFormat="1" applyFont="1" applyFill="1" applyBorder="1"/>
    <xf numFmtId="166" fontId="9" fillId="2" borderId="0" xfId="3" applyNumberFormat="1" applyFont="1" applyFill="1"/>
    <xf numFmtId="166" fontId="9" fillId="2" borderId="6" xfId="3" applyNumberFormat="1" applyFont="1" applyFill="1" applyBorder="1"/>
    <xf numFmtId="166" fontId="5" fillId="2" borderId="0" xfId="0" applyNumberFormat="1" applyFont="1" applyFill="1"/>
    <xf numFmtId="167" fontId="5" fillId="2" borderId="7" xfId="1" applyNumberFormat="1" applyFont="1" applyFill="1" applyBorder="1"/>
    <xf numFmtId="167" fontId="5" fillId="2" borderId="0" xfId="1" applyNumberFormat="1" applyFont="1" applyFill="1" applyBorder="1"/>
    <xf numFmtId="167" fontId="5" fillId="2" borderId="6" xfId="1" applyNumberFormat="1" applyFont="1" applyFill="1" applyBorder="1"/>
    <xf numFmtId="167" fontId="5" fillId="2" borderId="8" xfId="1" applyNumberFormat="1" applyFont="1" applyFill="1" applyBorder="1"/>
    <xf numFmtId="167" fontId="5" fillId="2" borderId="5" xfId="1" applyNumberFormat="1" applyFont="1" applyFill="1" applyBorder="1"/>
    <xf numFmtId="2" fontId="0" fillId="2" borderId="0" xfId="0" applyNumberFormat="1" applyFill="1"/>
    <xf numFmtId="167" fontId="10" fillId="2" borderId="7" xfId="1" applyNumberFormat="1" applyFont="1" applyFill="1" applyBorder="1" applyAlignment="1">
      <alignment horizontal="right"/>
    </xf>
    <xf numFmtId="167" fontId="10" fillId="2" borderId="6" xfId="1" applyNumberFormat="1" applyFont="1" applyFill="1" applyBorder="1" applyAlignment="1">
      <alignment horizontal="right"/>
    </xf>
    <xf numFmtId="10" fontId="5" fillId="2" borderId="5" xfId="1" applyNumberFormat="1" applyFont="1" applyFill="1" applyBorder="1" applyAlignment="1">
      <alignment horizontal="right"/>
    </xf>
    <xf numFmtId="167" fontId="5" fillId="2" borderId="7" xfId="1" applyNumberFormat="1" applyFont="1" applyFill="1" applyBorder="1" applyAlignment="1">
      <alignment horizontal="center"/>
    </xf>
    <xf numFmtId="167" fontId="5" fillId="2" borderId="6" xfId="1" applyNumberFormat="1" applyFont="1" applyFill="1" applyBorder="1" applyAlignment="1">
      <alignment horizontal="center"/>
    </xf>
    <xf numFmtId="3" fontId="5" fillId="2" borderId="0" xfId="1" applyNumberFormat="1" applyFont="1" applyFill="1" applyBorder="1" applyAlignment="1">
      <alignment horizontal="left"/>
    </xf>
    <xf numFmtId="165" fontId="5" fillId="2" borderId="12" xfId="2" applyNumberFormat="1" applyFont="1" applyFill="1" applyBorder="1" applyAlignment="1" applyProtection="1">
      <alignment horizontal="left" vertical="top"/>
    </xf>
    <xf numFmtId="3" fontId="5" fillId="2" borderId="13" xfId="1" applyNumberFormat="1" applyFont="1" applyFill="1" applyBorder="1" applyAlignment="1">
      <alignment horizontal="right"/>
    </xf>
    <xf numFmtId="3" fontId="5" fillId="2" borderId="14" xfId="1" applyNumberFormat="1" applyFont="1" applyFill="1" applyBorder="1" applyAlignment="1">
      <alignment horizontal="right"/>
    </xf>
    <xf numFmtId="3" fontId="5" fillId="2" borderId="15" xfId="1" applyNumberFormat="1" applyFont="1" applyFill="1" applyBorder="1" applyAlignment="1">
      <alignment horizontal="right"/>
    </xf>
    <xf numFmtId="166" fontId="5" fillId="2" borderId="13" xfId="1" applyNumberFormat="1" applyFont="1" applyFill="1" applyBorder="1" applyAlignment="1">
      <alignment horizontal="right"/>
    </xf>
    <xf numFmtId="166" fontId="5" fillId="2" borderId="14" xfId="1" applyNumberFormat="1" applyFont="1" applyFill="1" applyBorder="1" applyAlignment="1">
      <alignment horizontal="right"/>
    </xf>
    <xf numFmtId="166" fontId="5" fillId="3" borderId="14" xfId="1" applyNumberFormat="1" applyFont="1" applyFill="1" applyBorder="1" applyAlignment="1">
      <alignment horizontal="right"/>
    </xf>
    <xf numFmtId="166" fontId="5" fillId="3" borderId="15" xfId="1" applyNumberFormat="1" applyFont="1" applyFill="1" applyBorder="1" applyAlignment="1">
      <alignment horizontal="right"/>
    </xf>
    <xf numFmtId="10" fontId="5" fillId="2" borderId="13" xfId="1" applyNumberFormat="1" applyFont="1" applyFill="1" applyBorder="1" applyAlignment="1">
      <alignment horizontal="right"/>
    </xf>
    <xf numFmtId="10" fontId="5" fillId="2" borderId="14" xfId="1" applyNumberFormat="1" applyFont="1" applyFill="1" applyBorder="1" applyAlignment="1">
      <alignment horizontal="right"/>
    </xf>
    <xf numFmtId="167" fontId="5" fillId="2" borderId="14" xfId="1" applyNumberFormat="1" applyFont="1" applyFill="1" applyBorder="1" applyAlignment="1">
      <alignment horizontal="right"/>
    </xf>
    <xf numFmtId="167" fontId="5" fillId="2" borderId="15" xfId="1" applyNumberFormat="1" applyFont="1" applyFill="1" applyBorder="1" applyAlignment="1">
      <alignment horizontal="right"/>
    </xf>
    <xf numFmtId="167" fontId="5" fillId="2" borderId="13" xfId="1" applyNumberFormat="1" applyFont="1" applyFill="1" applyBorder="1" applyAlignment="1">
      <alignment horizontal="right"/>
    </xf>
    <xf numFmtId="9" fontId="5" fillId="2" borderId="14" xfId="1" applyFont="1" applyFill="1" applyBorder="1" applyAlignment="1">
      <alignment horizontal="right"/>
    </xf>
    <xf numFmtId="167" fontId="5" fillId="2" borderId="12" xfId="1" applyNumberFormat="1" applyFont="1" applyFill="1" applyBorder="1" applyAlignment="1">
      <alignment horizontal="right"/>
    </xf>
    <xf numFmtId="166" fontId="5" fillId="2" borderId="15" xfId="1" applyNumberFormat="1" applyFont="1" applyFill="1" applyBorder="1" applyAlignment="1">
      <alignment horizontal="right"/>
    </xf>
    <xf numFmtId="3" fontId="5" fillId="2" borderId="13" xfId="0" applyNumberFormat="1" applyFont="1" applyFill="1" applyBorder="1" applyAlignment="1">
      <alignment horizontal="right"/>
    </xf>
    <xf numFmtId="3" fontId="5" fillId="2" borderId="14" xfId="0" applyNumberFormat="1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right"/>
    </xf>
    <xf numFmtId="3" fontId="5" fillId="2" borderId="13" xfId="0" applyNumberFormat="1" applyFont="1" applyFill="1" applyBorder="1" applyAlignment="1">
      <alignment horizontal="center"/>
    </xf>
    <xf numFmtId="3" fontId="5" fillId="2" borderId="12" xfId="1" applyNumberFormat="1" applyFont="1" applyFill="1" applyBorder="1" applyAlignment="1">
      <alignment horizontal="right"/>
    </xf>
    <xf numFmtId="166" fontId="9" fillId="2" borderId="13" xfId="3" applyNumberFormat="1" applyFont="1" applyFill="1" applyBorder="1"/>
    <xf numFmtId="166" fontId="9" fillId="2" borderId="14" xfId="3" applyNumberFormat="1" applyFont="1" applyFill="1" applyBorder="1"/>
    <xf numFmtId="166" fontId="9" fillId="2" borderId="15" xfId="3" applyNumberFormat="1" applyFont="1" applyFill="1" applyBorder="1"/>
    <xf numFmtId="166" fontId="5" fillId="2" borderId="14" xfId="0" applyNumberFormat="1" applyFont="1" applyFill="1" applyBorder="1"/>
    <xf numFmtId="167" fontId="5" fillId="2" borderId="13" xfId="1" applyNumberFormat="1" applyFont="1" applyFill="1" applyBorder="1"/>
    <xf numFmtId="167" fontId="5" fillId="2" borderId="14" xfId="1" applyNumberFormat="1" applyFont="1" applyFill="1" applyBorder="1"/>
    <xf numFmtId="167" fontId="5" fillId="2" borderId="15" xfId="1" applyNumberFormat="1" applyFont="1" applyFill="1" applyBorder="1"/>
    <xf numFmtId="167" fontId="5" fillId="2" borderId="12" xfId="1" applyNumberFormat="1" applyFont="1" applyFill="1" applyBorder="1"/>
    <xf numFmtId="165" fontId="5" fillId="2" borderId="0" xfId="2" applyNumberFormat="1" applyFont="1" applyFill="1" applyBorder="1" applyAlignment="1" applyProtection="1">
      <alignment horizontal="left" vertical="top"/>
    </xf>
    <xf numFmtId="3" fontId="5" fillId="3" borderId="0" xfId="1" applyNumberFormat="1" applyFont="1" applyFill="1" applyBorder="1" applyAlignment="1">
      <alignment horizontal="right"/>
    </xf>
    <xf numFmtId="10" fontId="5" fillId="2" borderId="6" xfId="1" applyNumberFormat="1" applyFont="1" applyFill="1" applyBorder="1" applyAlignment="1">
      <alignment horizontal="right"/>
    </xf>
    <xf numFmtId="4" fontId="5" fillId="3" borderId="0" xfId="1" applyNumberFormat="1" applyFont="1" applyFill="1" applyBorder="1" applyAlignment="1">
      <alignment horizontal="right"/>
    </xf>
    <xf numFmtId="3" fontId="5" fillId="2" borderId="0" xfId="1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left"/>
    </xf>
    <xf numFmtId="167" fontId="5" fillId="2" borderId="0" xfId="1" applyNumberFormat="1" applyFont="1" applyFill="1"/>
    <xf numFmtId="3" fontId="5" fillId="2" borderId="0" xfId="0" applyNumberFormat="1" applyFont="1" applyFill="1"/>
    <xf numFmtId="10" fontId="5" fillId="2" borderId="0" xfId="1" applyNumberFormat="1" applyFont="1" applyFill="1" applyBorder="1"/>
    <xf numFmtId="4" fontId="5" fillId="2" borderId="0" xfId="0" applyNumberFormat="1" applyFont="1" applyFill="1"/>
    <xf numFmtId="2" fontId="5" fillId="2" borderId="0" xfId="1" applyNumberFormat="1" applyFont="1" applyFill="1" applyBorder="1" applyAlignment="1">
      <alignment horizontal="right"/>
    </xf>
    <xf numFmtId="167" fontId="5" fillId="2" borderId="0" xfId="0" applyNumberFormat="1" applyFont="1" applyFill="1"/>
    <xf numFmtId="2" fontId="5" fillId="2" borderId="0" xfId="0" applyNumberFormat="1" applyFont="1" applyFill="1" applyAlignment="1">
      <alignment horizontal="right"/>
    </xf>
    <xf numFmtId="168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10" fontId="5" fillId="2" borderId="0" xfId="0" applyNumberFormat="1" applyFont="1" applyFill="1"/>
    <xf numFmtId="168" fontId="0" fillId="2" borderId="0" xfId="0" applyNumberFormat="1" applyFill="1"/>
    <xf numFmtId="168" fontId="5" fillId="2" borderId="0" xfId="0" applyNumberFormat="1" applyFont="1" applyFill="1"/>
    <xf numFmtId="10" fontId="0" fillId="2" borderId="0" xfId="0" applyNumberFormat="1" applyFill="1"/>
    <xf numFmtId="167" fontId="0" fillId="2" borderId="0" xfId="1" applyNumberFormat="1" applyFont="1" applyFill="1"/>
    <xf numFmtId="0" fontId="5" fillId="2" borderId="0" xfId="2" applyNumberFormat="1" applyFont="1" applyFill="1" applyBorder="1" applyAlignment="1" applyProtection="1">
      <alignment horizontal="left" vertical="top"/>
    </xf>
    <xf numFmtId="0" fontId="3" fillId="2" borderId="0" xfId="0" quotePrefix="1" applyFont="1" applyFill="1"/>
    <xf numFmtId="0" fontId="9" fillId="2" borderId="0" xfId="3" applyFont="1" applyFill="1"/>
    <xf numFmtId="9" fontId="5" fillId="2" borderId="15" xfId="1" applyFont="1" applyFill="1" applyBorder="1" applyAlignment="1">
      <alignment horizontal="right"/>
    </xf>
    <xf numFmtId="168" fontId="9" fillId="0" borderId="0" xfId="0" applyNumberFormat="1" applyFont="1"/>
    <xf numFmtId="44" fontId="5" fillId="2" borderId="5" xfId="0" applyNumberFormat="1" applyFont="1" applyFill="1" applyBorder="1"/>
    <xf numFmtId="0" fontId="9" fillId="0" borderId="0" xfId="0" applyFont="1"/>
  </cellXfs>
  <cellStyles count="4">
    <cellStyle name="Hyperkobling" xfId="2" builtinId="8"/>
    <cellStyle name="Normal" xfId="0" builtinId="0"/>
    <cellStyle name="Normal 100" xfId="3" xr:uid="{7AC6CDE1-1EC5-41FD-A396-314CE891A1B7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6300C-29AF-4711-94B8-5A421B370ADC}">
  <dimension ref="A1:HN171"/>
  <sheetViews>
    <sheetView tabSelected="1" topLeftCell="CX1" workbookViewId="0">
      <selection activeCell="DH2" sqref="DH2"/>
    </sheetView>
  </sheetViews>
  <sheetFormatPr baseColWidth="10" defaultColWidth="11.42578125" defaultRowHeight="15" x14ac:dyDescent="0.25"/>
  <cols>
    <col min="1" max="1" width="4.5703125" customWidth="1"/>
    <col min="2" max="2" width="32.42578125" bestFit="1" customWidth="1"/>
    <col min="3" max="9" width="9.42578125" customWidth="1"/>
    <col min="10" max="10" width="4.5703125" customWidth="1"/>
    <col min="11" max="14" width="9.42578125" customWidth="1"/>
    <col min="15" max="15" width="11.140625" customWidth="1"/>
    <col min="16" max="16" width="11.5703125" customWidth="1"/>
    <col min="17" max="17" width="10.5703125" customWidth="1"/>
    <col min="18" max="20" width="9.42578125" customWidth="1"/>
    <col min="21" max="21" width="11.140625" customWidth="1"/>
    <col min="23" max="24" width="11.140625" customWidth="1"/>
    <col min="25" max="25" width="4.5703125" customWidth="1"/>
    <col min="26" max="29" width="10.42578125" customWidth="1"/>
    <col min="30" max="31" width="10.5703125" customWidth="1"/>
    <col min="32" max="36" width="11.140625" customWidth="1"/>
    <col min="37" max="37" width="4.5703125" style="1" customWidth="1"/>
    <col min="38" max="40" width="11.140625" style="1" customWidth="1"/>
    <col min="41" max="41" width="4.5703125" style="1" customWidth="1"/>
    <col min="42" max="43" width="11.140625" style="1" customWidth="1"/>
    <col min="44" max="44" width="16.5703125" style="1" customWidth="1"/>
    <col min="45" max="45" width="13.85546875" style="1" customWidth="1"/>
    <col min="46" max="48" width="11.140625" style="1" customWidth="1"/>
    <col min="49" max="49" width="3.85546875" style="1" customWidth="1"/>
    <col min="50" max="54" width="9.5703125" style="1" customWidth="1"/>
    <col min="55" max="55" width="4.5703125" style="1" customWidth="1"/>
    <col min="56" max="58" width="11.140625" style="1" customWidth="1"/>
    <col min="59" max="59" width="4.5703125" customWidth="1"/>
    <col min="60" max="63" width="11.140625" style="1" customWidth="1"/>
    <col min="64" max="64" width="4.5703125" style="1" customWidth="1"/>
    <col min="65" max="67" width="11.140625" style="1" customWidth="1"/>
    <col min="68" max="68" width="4.5703125" style="1" customWidth="1"/>
    <col min="69" max="71" width="11.140625" style="1" customWidth="1"/>
    <col min="72" max="72" width="11.5703125" style="1" customWidth="1"/>
    <col min="73" max="74" width="11.140625" style="1" customWidth="1"/>
    <col min="75" max="75" width="4.5703125" style="1" customWidth="1"/>
    <col min="76" max="76" width="10.42578125" style="1" customWidth="1"/>
    <col min="77" max="77" width="11.42578125" style="1"/>
    <col min="78" max="78" width="11.5703125" style="1" customWidth="1"/>
    <col min="79" max="84" width="10.42578125" style="1" customWidth="1"/>
    <col min="85" max="85" width="10.5703125" style="1" customWidth="1"/>
    <col min="86" max="99" width="10.42578125" style="1" customWidth="1"/>
    <col min="100" max="100" width="4.5703125" style="1" customWidth="1"/>
    <col min="101" max="101" width="10.42578125" style="1" customWidth="1"/>
    <col min="102" max="102" width="4.5703125" style="1" customWidth="1"/>
    <col min="111" max="111" width="4.5703125" customWidth="1"/>
    <col min="112" max="112" width="25.140625" style="1" customWidth="1"/>
    <col min="113" max="113" width="11.140625" customWidth="1"/>
    <col min="114" max="120" width="10.42578125" customWidth="1"/>
    <col min="121" max="121" width="4.5703125" customWidth="1"/>
    <col min="122" max="124" width="10" customWidth="1"/>
    <col min="125" max="125" width="4.5703125" customWidth="1"/>
    <col min="126" max="126" width="10.42578125" customWidth="1"/>
    <col min="129" max="129" width="4.5703125" customWidth="1"/>
    <col min="130" max="133" width="11.5703125" customWidth="1"/>
    <col min="134" max="134" width="4.5703125" customWidth="1"/>
    <col min="135" max="144" width="11.5703125" customWidth="1"/>
    <col min="145" max="145" width="4.5703125" customWidth="1"/>
    <col min="146" max="155" width="11.5703125" customWidth="1"/>
    <col min="156" max="156" width="4.5703125" customWidth="1"/>
    <col min="157" max="158" width="10" customWidth="1"/>
    <col min="160" max="160" width="4.5703125" style="1" customWidth="1"/>
    <col min="161" max="162" width="10.42578125" customWidth="1"/>
    <col min="164" max="164" width="4.5703125" style="1" customWidth="1"/>
    <col min="173" max="173" width="4.5703125" style="1" customWidth="1"/>
    <col min="174" max="176" width="11.42578125" style="1"/>
    <col min="177" max="177" width="4.5703125" style="1" customWidth="1"/>
    <col min="178" max="180" width="11.42578125" style="1"/>
    <col min="181" max="181" width="4.5703125" customWidth="1"/>
    <col min="182" max="182" width="10.42578125" customWidth="1"/>
    <col min="185" max="185" width="4.5703125" style="1" customWidth="1"/>
    <col min="186" max="188" width="10" customWidth="1"/>
    <col min="189" max="189" width="4.5703125" style="1" customWidth="1"/>
    <col min="190" max="192" width="9.42578125" customWidth="1"/>
    <col min="193" max="193" width="4.5703125" style="1" customWidth="1"/>
    <col min="194" max="194" width="10" customWidth="1"/>
    <col min="195" max="196" width="8.5703125" style="1" customWidth="1"/>
    <col min="197" max="197" width="4.5703125" style="1" customWidth="1"/>
    <col min="198" max="199" width="10" customWidth="1"/>
    <col min="200" max="200" width="9.42578125" customWidth="1"/>
    <col min="201" max="201" width="4.5703125" customWidth="1"/>
    <col min="202" max="202" width="10" customWidth="1"/>
    <col min="203" max="204" width="11" customWidth="1"/>
    <col min="205" max="205" width="4.5703125" customWidth="1"/>
    <col min="222" max="222" width="11.42578125" style="1"/>
  </cols>
  <sheetData>
    <row r="1" spans="1:207" ht="15.75" x14ac:dyDescent="0.25">
      <c r="A1" s="1"/>
      <c r="B1" s="2" t="s">
        <v>0</v>
      </c>
      <c r="C1" s="3"/>
      <c r="D1" s="4"/>
      <c r="E1" s="1"/>
      <c r="F1" s="1"/>
      <c r="G1" s="1"/>
      <c r="H1" s="1"/>
      <c r="I1" s="1"/>
      <c r="J1" s="1"/>
      <c r="K1" s="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5"/>
      <c r="AA1" s="1"/>
      <c r="AB1" s="1"/>
      <c r="AC1" s="1"/>
      <c r="AD1" s="1"/>
      <c r="AE1" s="1"/>
      <c r="AF1" s="1"/>
      <c r="AG1" s="1"/>
      <c r="AH1" s="1"/>
      <c r="AI1" s="1"/>
      <c r="AJ1" s="1"/>
      <c r="AL1" s="5"/>
      <c r="AP1" s="5"/>
      <c r="AX1" s="5"/>
      <c r="AY1" s="5"/>
      <c r="BG1" s="1"/>
      <c r="CD1" s="6"/>
      <c r="CY1" s="5"/>
      <c r="CZ1" s="1"/>
      <c r="DA1" s="1"/>
      <c r="DB1" s="1"/>
      <c r="DC1" s="1"/>
      <c r="DD1" s="1"/>
      <c r="DE1" s="1"/>
      <c r="DF1" s="1"/>
      <c r="DG1" s="1"/>
      <c r="DH1" s="5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E1" s="1"/>
      <c r="FF1" s="1"/>
      <c r="FG1" s="1"/>
      <c r="FI1" s="1"/>
      <c r="FJ1" s="1"/>
      <c r="FK1" s="1"/>
      <c r="FL1" s="1"/>
      <c r="FM1" s="1"/>
      <c r="FN1" s="1"/>
      <c r="FO1" s="1"/>
      <c r="FP1" s="1"/>
      <c r="FY1" s="1"/>
      <c r="FZ1" s="1"/>
      <c r="GA1" s="1"/>
      <c r="GB1" s="1"/>
      <c r="GD1" s="1"/>
      <c r="GE1" s="1"/>
      <c r="GF1" s="1"/>
      <c r="GH1" s="1"/>
      <c r="GI1" s="1"/>
      <c r="GJ1" s="1"/>
      <c r="GL1" s="1"/>
      <c r="GP1" s="1"/>
      <c r="GQ1" s="1"/>
      <c r="GR1" s="1"/>
      <c r="GS1" s="1"/>
      <c r="GT1" s="1"/>
      <c r="GU1" s="1"/>
      <c r="GV1" s="1"/>
      <c r="GW1" s="1"/>
      <c r="GX1" s="1"/>
      <c r="GY1" s="1"/>
    </row>
    <row r="2" spans="1:207" ht="15.75" x14ac:dyDescent="0.25">
      <c r="A2" s="1"/>
      <c r="B2" s="2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1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9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1"/>
      <c r="DH2" s="8"/>
      <c r="DI2" s="1"/>
      <c r="DJ2" s="1"/>
      <c r="DK2" s="1"/>
      <c r="DL2" s="1"/>
      <c r="DM2" s="1"/>
      <c r="DN2" s="1"/>
      <c r="DO2" s="1"/>
      <c r="DP2" s="1"/>
      <c r="DQ2" s="1"/>
      <c r="DR2" s="5"/>
      <c r="DS2" s="1"/>
      <c r="DT2" s="1"/>
      <c r="DU2" s="1"/>
      <c r="DV2" s="5"/>
      <c r="DW2" s="1"/>
      <c r="DX2" s="1"/>
      <c r="DY2" s="1"/>
      <c r="DZ2" s="5"/>
      <c r="EA2" s="1"/>
      <c r="EB2" s="1"/>
      <c r="EC2" s="1"/>
      <c r="ED2" s="1"/>
      <c r="EE2" s="5"/>
      <c r="EF2" s="8"/>
      <c r="EG2" s="8"/>
      <c r="EH2" s="8"/>
      <c r="EI2" s="8"/>
      <c r="EJ2" s="8"/>
      <c r="EK2" s="8"/>
      <c r="EL2" s="8"/>
      <c r="EM2" s="1"/>
      <c r="EN2" s="1"/>
      <c r="EO2" s="1"/>
      <c r="EP2" s="5"/>
      <c r="EQ2" s="1"/>
      <c r="ER2" s="1"/>
      <c r="ES2" s="1"/>
      <c r="ET2" s="1"/>
      <c r="EU2" s="1"/>
      <c r="EV2" s="1"/>
      <c r="EW2" s="1"/>
      <c r="EX2" s="1"/>
      <c r="EY2" s="1"/>
      <c r="EZ2" s="1"/>
      <c r="FA2" s="5"/>
      <c r="FB2" s="1"/>
      <c r="FC2" s="1"/>
      <c r="FE2" s="5"/>
      <c r="FF2" s="1"/>
      <c r="FG2" s="1"/>
      <c r="FI2" s="1"/>
      <c r="FJ2" s="1"/>
      <c r="FK2" s="1"/>
      <c r="FL2" s="1"/>
      <c r="FM2" s="1"/>
      <c r="FN2" s="1"/>
      <c r="FO2" s="1"/>
      <c r="FP2" s="1"/>
      <c r="FR2" s="5"/>
      <c r="FV2" s="5"/>
      <c r="FY2" s="1"/>
      <c r="FZ2" s="5"/>
      <c r="GA2" s="1"/>
      <c r="GB2" s="1"/>
      <c r="GD2" s="5"/>
      <c r="GE2" s="1"/>
      <c r="GF2" s="1"/>
      <c r="GH2" s="5"/>
      <c r="GI2" s="1"/>
      <c r="GJ2" s="1"/>
      <c r="GL2" s="5"/>
      <c r="GP2" s="5"/>
      <c r="GQ2" s="1"/>
      <c r="GR2" s="1"/>
      <c r="GS2" s="1"/>
      <c r="GT2" s="5"/>
      <c r="GU2" s="1"/>
      <c r="GV2" s="1"/>
      <c r="GW2" s="1"/>
      <c r="GX2" s="5"/>
      <c r="GY2" s="1"/>
    </row>
    <row r="3" spans="1:207" x14ac:dyDescent="0.25">
      <c r="A3" s="1"/>
      <c r="B3" s="1"/>
      <c r="C3" s="8" t="s">
        <v>1</v>
      </c>
      <c r="D3" s="8"/>
      <c r="E3" s="8"/>
      <c r="F3" s="8"/>
      <c r="G3" s="8"/>
      <c r="H3" s="8"/>
      <c r="I3" s="8"/>
      <c r="J3" s="8"/>
      <c r="K3" s="8" t="s">
        <v>2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 t="s">
        <v>3</v>
      </c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 t="s">
        <v>230</v>
      </c>
      <c r="AM3" s="8"/>
      <c r="AN3" s="8"/>
      <c r="AO3" s="8"/>
      <c r="AP3" s="8" t="s">
        <v>4</v>
      </c>
      <c r="AQ3" s="8"/>
      <c r="AR3" s="8"/>
      <c r="AS3" s="8"/>
      <c r="AT3" s="8"/>
      <c r="AU3" s="8"/>
      <c r="AV3" s="8"/>
      <c r="AW3" s="8"/>
      <c r="AX3" s="8" t="s">
        <v>5</v>
      </c>
      <c r="AY3" s="8"/>
      <c r="AZ3" s="8"/>
      <c r="BA3" s="8"/>
      <c r="BB3" s="8"/>
      <c r="BC3" s="8"/>
      <c r="BD3" s="8" t="s">
        <v>6</v>
      </c>
      <c r="BE3" s="8"/>
      <c r="BF3" s="8"/>
      <c r="BG3" s="1"/>
      <c r="BH3" s="8" t="s">
        <v>7</v>
      </c>
      <c r="BI3" s="8"/>
      <c r="BJ3" s="8"/>
      <c r="BK3" s="8"/>
      <c r="BL3" s="8"/>
      <c r="BM3" s="8"/>
      <c r="BN3" s="8"/>
      <c r="BO3" s="8"/>
      <c r="BP3" s="8"/>
      <c r="BQ3" s="8" t="s">
        <v>8</v>
      </c>
      <c r="BR3" s="8"/>
      <c r="BS3" s="8"/>
      <c r="BT3" s="9"/>
      <c r="BU3" s="8"/>
      <c r="BV3" s="8"/>
      <c r="BW3" s="8"/>
      <c r="BX3" s="8" t="s">
        <v>9</v>
      </c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 t="s">
        <v>10</v>
      </c>
      <c r="CZ3" s="8"/>
      <c r="DA3" s="8"/>
      <c r="DB3" s="8"/>
      <c r="DC3" s="8"/>
      <c r="DD3" s="8"/>
      <c r="DE3" s="8"/>
      <c r="DF3" s="8"/>
      <c r="DG3" s="1"/>
      <c r="DH3" s="8" t="s">
        <v>11</v>
      </c>
      <c r="DI3" s="1"/>
      <c r="DJ3" s="1"/>
      <c r="DK3" s="1"/>
      <c r="DL3" s="1"/>
      <c r="DM3" s="1"/>
      <c r="DN3" s="5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8" t="s">
        <v>12</v>
      </c>
      <c r="EF3" s="8"/>
      <c r="EG3" s="8"/>
      <c r="EH3" s="8"/>
      <c r="EI3" s="8"/>
      <c r="EJ3" s="8"/>
      <c r="EK3" s="8"/>
      <c r="EL3" s="8"/>
      <c r="EM3" s="1"/>
      <c r="EN3" s="1"/>
      <c r="EO3" s="1"/>
      <c r="EP3" s="8" t="s">
        <v>12</v>
      </c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E3" s="1"/>
      <c r="FF3" s="1"/>
      <c r="FG3" s="1"/>
      <c r="FI3" s="1"/>
      <c r="FJ3" s="1"/>
      <c r="FK3" s="1"/>
      <c r="FL3" s="1"/>
      <c r="FM3" s="1"/>
      <c r="FN3" s="1"/>
      <c r="FO3" s="1"/>
      <c r="FP3" s="1"/>
      <c r="FY3" s="1"/>
      <c r="FZ3" s="1"/>
      <c r="GA3" s="1"/>
      <c r="GB3" s="1"/>
      <c r="GD3" s="1"/>
      <c r="GE3" s="1"/>
      <c r="GF3" s="1"/>
      <c r="GH3" s="1"/>
      <c r="GI3" s="1"/>
      <c r="GJ3" s="1"/>
      <c r="GL3" s="1"/>
      <c r="GP3" s="1"/>
      <c r="GQ3" s="1"/>
      <c r="GR3" s="1"/>
      <c r="GS3" s="1"/>
      <c r="GT3" s="1"/>
      <c r="GU3" s="1"/>
      <c r="GV3" s="1"/>
      <c r="GW3" s="1"/>
      <c r="GX3" s="1"/>
      <c r="GY3" s="1"/>
    </row>
    <row r="4" spans="1:207" ht="39" customHeight="1" x14ac:dyDescent="0.25">
      <c r="A4" s="1"/>
      <c r="B4" s="10" t="s">
        <v>13</v>
      </c>
      <c r="C4" s="11" t="s">
        <v>14</v>
      </c>
      <c r="D4" s="12" t="s">
        <v>15</v>
      </c>
      <c r="E4" s="12" t="s">
        <v>16</v>
      </c>
      <c r="F4" s="12" t="s">
        <v>17</v>
      </c>
      <c r="G4" s="12" t="s">
        <v>18</v>
      </c>
      <c r="H4" s="12" t="s">
        <v>19</v>
      </c>
      <c r="I4" s="13" t="s">
        <v>20</v>
      </c>
      <c r="J4" s="14"/>
      <c r="K4" s="11" t="s">
        <v>21</v>
      </c>
      <c r="L4" s="12" t="s">
        <v>22</v>
      </c>
      <c r="M4" s="12" t="s">
        <v>23</v>
      </c>
      <c r="N4" s="15" t="s">
        <v>24</v>
      </c>
      <c r="O4" s="12" t="s">
        <v>25</v>
      </c>
      <c r="P4" s="15" t="s">
        <v>26</v>
      </c>
      <c r="Q4" s="12" t="s">
        <v>27</v>
      </c>
      <c r="R4" s="15" t="s">
        <v>28</v>
      </c>
      <c r="S4" s="12" t="s">
        <v>29</v>
      </c>
      <c r="T4" s="12" t="s">
        <v>30</v>
      </c>
      <c r="U4" s="12" t="s">
        <v>31</v>
      </c>
      <c r="V4" s="15" t="s">
        <v>32</v>
      </c>
      <c r="W4" s="12" t="s">
        <v>33</v>
      </c>
      <c r="X4" s="16" t="s">
        <v>34</v>
      </c>
      <c r="Y4" s="17"/>
      <c r="Z4" s="11" t="s">
        <v>35</v>
      </c>
      <c r="AA4" s="12" t="s">
        <v>36</v>
      </c>
      <c r="AB4" s="12" t="s">
        <v>37</v>
      </c>
      <c r="AC4" s="12" t="s">
        <v>38</v>
      </c>
      <c r="AD4" s="12" t="s">
        <v>39</v>
      </c>
      <c r="AE4" s="12" t="s">
        <v>40</v>
      </c>
      <c r="AF4" s="12" t="s">
        <v>41</v>
      </c>
      <c r="AG4" s="12" t="s">
        <v>42</v>
      </c>
      <c r="AH4" s="12" t="s">
        <v>43</v>
      </c>
      <c r="AI4" s="12" t="s">
        <v>44</v>
      </c>
      <c r="AJ4" s="13" t="s">
        <v>45</v>
      </c>
      <c r="AK4" s="18"/>
      <c r="AL4" s="11" t="s">
        <v>46</v>
      </c>
      <c r="AM4" s="12" t="s">
        <v>47</v>
      </c>
      <c r="AN4" s="13" t="s">
        <v>48</v>
      </c>
      <c r="AO4" s="17"/>
      <c r="AP4" s="19" t="s">
        <v>49</v>
      </c>
      <c r="AQ4" s="13" t="s">
        <v>50</v>
      </c>
      <c r="AR4" s="13" t="s">
        <v>51</v>
      </c>
      <c r="AS4" s="13" t="s">
        <v>52</v>
      </c>
      <c r="AT4" s="13" t="s">
        <v>53</v>
      </c>
      <c r="AU4" s="19" t="s">
        <v>54</v>
      </c>
      <c r="AV4" s="19" t="s">
        <v>55</v>
      </c>
      <c r="AW4" s="18"/>
      <c r="AX4" s="11" t="s">
        <v>56</v>
      </c>
      <c r="AY4" s="12" t="s">
        <v>57</v>
      </c>
      <c r="AZ4" s="12" t="s">
        <v>58</v>
      </c>
      <c r="BA4" s="12" t="s">
        <v>59</v>
      </c>
      <c r="BB4" s="13" t="s">
        <v>60</v>
      </c>
      <c r="BC4" s="17"/>
      <c r="BD4" s="11" t="s">
        <v>61</v>
      </c>
      <c r="BE4" s="12" t="s">
        <v>62</v>
      </c>
      <c r="BF4" s="13" t="s">
        <v>63</v>
      </c>
      <c r="BG4" s="17"/>
      <c r="BH4" s="19" t="s">
        <v>64</v>
      </c>
      <c r="BI4" s="19" t="s">
        <v>65</v>
      </c>
      <c r="BJ4" s="19" t="s">
        <v>66</v>
      </c>
      <c r="BK4" s="19" t="s">
        <v>67</v>
      </c>
      <c r="BL4" s="18"/>
      <c r="BM4" s="13" t="s">
        <v>68</v>
      </c>
      <c r="BN4" s="13" t="s">
        <v>69</v>
      </c>
      <c r="BO4" s="13" t="s">
        <v>70</v>
      </c>
      <c r="BP4" s="18"/>
      <c r="BQ4" s="19" t="s">
        <v>71</v>
      </c>
      <c r="BR4" s="13" t="s">
        <v>72</v>
      </c>
      <c r="BS4" s="13" t="s">
        <v>73</v>
      </c>
      <c r="BT4" s="19" t="s">
        <v>74</v>
      </c>
      <c r="BU4" s="13" t="s">
        <v>75</v>
      </c>
      <c r="BV4" s="13" t="s">
        <v>76</v>
      </c>
      <c r="BW4" s="17"/>
      <c r="BX4" s="11" t="s">
        <v>77</v>
      </c>
      <c r="BY4" s="12" t="s">
        <v>78</v>
      </c>
      <c r="BZ4" s="15" t="s">
        <v>79</v>
      </c>
      <c r="CA4" s="12" t="s">
        <v>80</v>
      </c>
      <c r="CB4" s="12" t="s">
        <v>81</v>
      </c>
      <c r="CC4" s="12" t="s">
        <v>82</v>
      </c>
      <c r="CD4" s="15" t="s">
        <v>83</v>
      </c>
      <c r="CE4" s="12" t="s">
        <v>84</v>
      </c>
      <c r="CF4" s="20" t="s">
        <v>85</v>
      </c>
      <c r="CG4" s="15" t="s">
        <v>86</v>
      </c>
      <c r="CH4" s="12" t="s">
        <v>87</v>
      </c>
      <c r="CI4" s="12" t="s">
        <v>88</v>
      </c>
      <c r="CJ4" s="12" t="s">
        <v>89</v>
      </c>
      <c r="CK4" s="12" t="s">
        <v>90</v>
      </c>
      <c r="CL4" s="15" t="s">
        <v>14</v>
      </c>
      <c r="CM4" s="12" t="s">
        <v>91</v>
      </c>
      <c r="CN4" s="12" t="s">
        <v>92</v>
      </c>
      <c r="CO4" s="15" t="s">
        <v>93</v>
      </c>
      <c r="CP4" s="12" t="s">
        <v>94</v>
      </c>
      <c r="CQ4" s="12" t="s">
        <v>95</v>
      </c>
      <c r="CR4" s="15" t="s">
        <v>96</v>
      </c>
      <c r="CS4" s="12" t="s">
        <v>97</v>
      </c>
      <c r="CT4" s="12" t="s">
        <v>98</v>
      </c>
      <c r="CU4" s="13" t="s">
        <v>99</v>
      </c>
      <c r="CV4" s="17"/>
      <c r="CW4" s="19" t="s">
        <v>100</v>
      </c>
      <c r="CX4" s="17"/>
      <c r="CY4" s="21">
        <v>46203</v>
      </c>
      <c r="CZ4" s="19" t="s">
        <v>101</v>
      </c>
      <c r="DA4" s="19" t="s">
        <v>102</v>
      </c>
      <c r="DB4" s="19" t="s">
        <v>103</v>
      </c>
      <c r="DC4" s="19" t="s">
        <v>104</v>
      </c>
      <c r="DD4" s="19" t="s">
        <v>105</v>
      </c>
      <c r="DE4" s="13" t="s">
        <v>106</v>
      </c>
      <c r="DF4" s="13" t="s">
        <v>107</v>
      </c>
      <c r="DG4" s="17"/>
      <c r="DH4" s="19" t="s">
        <v>108</v>
      </c>
      <c r="DI4" s="22" t="s">
        <v>109</v>
      </c>
      <c r="DJ4" s="19" t="s">
        <v>110</v>
      </c>
      <c r="DK4" s="19" t="s">
        <v>111</v>
      </c>
      <c r="DL4" s="19" t="s">
        <v>112</v>
      </c>
      <c r="DM4" s="19" t="s">
        <v>113</v>
      </c>
      <c r="DN4" s="19" t="s">
        <v>114</v>
      </c>
      <c r="DO4" s="19" t="s">
        <v>115</v>
      </c>
      <c r="DP4" s="19" t="s">
        <v>116</v>
      </c>
      <c r="DQ4" s="17"/>
      <c r="DR4" s="19" t="s">
        <v>117</v>
      </c>
      <c r="DS4" s="19" t="s">
        <v>118</v>
      </c>
      <c r="DT4" s="19" t="s">
        <v>119</v>
      </c>
      <c r="DU4" s="17"/>
      <c r="DV4" s="19" t="s">
        <v>120</v>
      </c>
      <c r="DW4" s="19" t="s">
        <v>121</v>
      </c>
      <c r="DX4" s="19" t="s">
        <v>122</v>
      </c>
      <c r="DY4" s="17"/>
      <c r="DZ4" s="19" t="s">
        <v>123</v>
      </c>
      <c r="EA4" s="12" t="s">
        <v>124</v>
      </c>
      <c r="EB4" s="13" t="s">
        <v>125</v>
      </c>
      <c r="EC4" s="13" t="s">
        <v>126</v>
      </c>
      <c r="ED4" s="17"/>
      <c r="EE4" s="11" t="s">
        <v>127</v>
      </c>
      <c r="EF4" s="12" t="s">
        <v>128</v>
      </c>
      <c r="EG4" s="12" t="s">
        <v>129</v>
      </c>
      <c r="EH4" s="12" t="s">
        <v>130</v>
      </c>
      <c r="EI4" s="12" t="s">
        <v>131</v>
      </c>
      <c r="EJ4" s="12" t="s">
        <v>132</v>
      </c>
      <c r="EK4" s="12" t="s">
        <v>133</v>
      </c>
      <c r="EL4" s="12" t="s">
        <v>134</v>
      </c>
      <c r="EM4" s="13" t="s">
        <v>135</v>
      </c>
      <c r="EN4" s="13" t="s">
        <v>136</v>
      </c>
      <c r="EO4" s="17"/>
      <c r="EP4" s="11" t="s">
        <v>127</v>
      </c>
      <c r="EQ4" s="12" t="s">
        <v>128</v>
      </c>
      <c r="ER4" s="12" t="s">
        <v>129</v>
      </c>
      <c r="ES4" s="12" t="s">
        <v>130</v>
      </c>
      <c r="ET4" s="12" t="s">
        <v>131</v>
      </c>
      <c r="EU4" s="12" t="s">
        <v>132</v>
      </c>
      <c r="EV4" s="12" t="s">
        <v>133</v>
      </c>
      <c r="EW4" s="12" t="s">
        <v>134</v>
      </c>
      <c r="EX4" s="13" t="s">
        <v>135</v>
      </c>
      <c r="EY4" s="13" t="s">
        <v>136</v>
      </c>
      <c r="EZ4" s="17"/>
      <c r="FA4" s="19" t="s">
        <v>137</v>
      </c>
      <c r="FB4" s="19" t="s">
        <v>138</v>
      </c>
      <c r="FC4" s="19" t="s">
        <v>139</v>
      </c>
      <c r="FE4" s="11" t="s">
        <v>81</v>
      </c>
      <c r="FF4" s="12" t="s">
        <v>82</v>
      </c>
      <c r="FG4" s="13" t="s">
        <v>140</v>
      </c>
      <c r="FI4" s="19" t="s">
        <v>141</v>
      </c>
      <c r="FJ4" s="19" t="s">
        <v>142</v>
      </c>
      <c r="FK4" s="19" t="s">
        <v>143</v>
      </c>
      <c r="FL4" s="12" t="s">
        <v>106</v>
      </c>
      <c r="FM4" s="19" t="s">
        <v>144</v>
      </c>
      <c r="FN4" s="19" t="s">
        <v>145</v>
      </c>
      <c r="FO4" s="19" t="s">
        <v>146</v>
      </c>
      <c r="FP4" s="13" t="s">
        <v>106</v>
      </c>
      <c r="FR4" s="19" t="s">
        <v>147</v>
      </c>
      <c r="FS4" s="19" t="s">
        <v>148</v>
      </c>
      <c r="FT4" s="13" t="s">
        <v>149</v>
      </c>
      <c r="FV4" s="19" t="s">
        <v>147</v>
      </c>
      <c r="FW4" s="19" t="s">
        <v>148</v>
      </c>
      <c r="FX4" s="13" t="s">
        <v>149</v>
      </c>
      <c r="FY4" s="17"/>
      <c r="FZ4" s="19" t="s">
        <v>150</v>
      </c>
      <c r="GA4" s="19" t="s">
        <v>151</v>
      </c>
      <c r="GB4" s="19" t="s">
        <v>152</v>
      </c>
      <c r="GD4" s="19" t="s">
        <v>153</v>
      </c>
      <c r="GE4" s="13" t="s">
        <v>154</v>
      </c>
      <c r="GF4" s="13" t="s">
        <v>155</v>
      </c>
      <c r="GH4" s="19" t="s">
        <v>156</v>
      </c>
      <c r="GI4" s="13" t="s">
        <v>157</v>
      </c>
      <c r="GJ4" s="19" t="s">
        <v>158</v>
      </c>
      <c r="GL4" s="19" t="s">
        <v>159</v>
      </c>
      <c r="GM4" s="19" t="s">
        <v>238</v>
      </c>
      <c r="GN4" s="19" t="s">
        <v>239</v>
      </c>
      <c r="GP4" s="19" t="s">
        <v>160</v>
      </c>
      <c r="GQ4" s="19" t="s">
        <v>161</v>
      </c>
      <c r="GR4" s="19" t="s">
        <v>162</v>
      </c>
      <c r="GS4" s="17"/>
      <c r="GT4" s="19" t="s">
        <v>163</v>
      </c>
      <c r="GU4" s="19" t="s">
        <v>164</v>
      </c>
      <c r="GV4" s="19" t="s">
        <v>165</v>
      </c>
      <c r="GW4" s="17"/>
      <c r="GX4" s="19" t="s">
        <v>166</v>
      </c>
      <c r="GY4" s="1"/>
    </row>
    <row r="5" spans="1:207" x14ac:dyDescent="0.25">
      <c r="A5" s="1"/>
      <c r="B5" s="23" t="s">
        <v>167</v>
      </c>
      <c r="C5" s="24">
        <v>8582.0319999999992</v>
      </c>
      <c r="D5" s="25">
        <f t="shared" ref="D5:D47" si="0">GT5</f>
        <v>8250.5344999999998</v>
      </c>
      <c r="E5" s="25">
        <v>6896.18</v>
      </c>
      <c r="F5" s="25">
        <v>3452.8649999999998</v>
      </c>
      <c r="G5" s="25">
        <v>6002.3969999999999</v>
      </c>
      <c r="H5" s="25">
        <f t="shared" ref="H5:H47" si="1">C5+F5</f>
        <v>12034.896999999999</v>
      </c>
      <c r="I5" s="26">
        <f t="shared" ref="I5:I47" si="2">E5+F5</f>
        <v>10349.045</v>
      </c>
      <c r="J5" s="25"/>
      <c r="K5" s="27">
        <v>90.304000000000002</v>
      </c>
      <c r="L5" s="28">
        <v>31.949000000000005</v>
      </c>
      <c r="M5" s="28">
        <v>0.60399999999999998</v>
      </c>
      <c r="N5" s="29">
        <f t="shared" ref="N5:N48" si="3">K5+L5+M5</f>
        <v>122.85700000000001</v>
      </c>
      <c r="O5" s="28">
        <v>62.435000000000002</v>
      </c>
      <c r="P5" s="29">
        <f t="shared" ref="P5:P48" si="4">N5-O5</f>
        <v>60.422000000000011</v>
      </c>
      <c r="Q5" s="28">
        <v>-2.14</v>
      </c>
      <c r="R5" s="29">
        <f t="shared" ref="R5:R48" si="5">P5-Q5</f>
        <v>62.562000000000012</v>
      </c>
      <c r="S5" s="28">
        <v>13.773</v>
      </c>
      <c r="T5" s="28">
        <v>0.90700000000000003</v>
      </c>
      <c r="U5" s="28">
        <v>-0.98499999999999999</v>
      </c>
      <c r="V5" s="29">
        <f t="shared" ref="V5:V48" si="6">R5+S5+T5+U5</f>
        <v>76.257000000000005</v>
      </c>
      <c r="W5" s="28">
        <v>15.651</v>
      </c>
      <c r="X5" s="30">
        <f t="shared" ref="X5:X48" si="7">V5-W5</f>
        <v>60.606000000000009</v>
      </c>
      <c r="Y5" s="28"/>
      <c r="Z5" s="31">
        <f t="shared" ref="Z5:Z47" si="8">K5/D5*2</f>
        <v>2.1890460551373975E-2</v>
      </c>
      <c r="AA5" s="32">
        <f t="shared" ref="AA5:AA47" si="9">L5/D5*2</f>
        <v>7.7447103578562109E-3</v>
      </c>
      <c r="AB5" s="33">
        <f t="shared" ref="AB5:AB48" si="10">O5/(N5+S5+T5)</f>
        <v>0.45395057330027544</v>
      </c>
      <c r="AC5" s="33">
        <f t="shared" ref="AC5:AC48" si="11">O5/(N5+S5)</f>
        <v>0.45696406352923946</v>
      </c>
      <c r="AD5" s="33">
        <f t="shared" ref="AD5:AD48" si="12">O5/N5</f>
        <v>0.50819245138657132</v>
      </c>
      <c r="AE5" s="32">
        <f t="shared" ref="AE5:AE48" si="13">O5/D5*2</f>
        <v>1.5134777025658156E-2</v>
      </c>
      <c r="AF5" s="32">
        <f t="shared" ref="AF5:AF48" si="14">X5/D5*2</f>
        <v>1.4691411810956009E-2</v>
      </c>
      <c r="AG5" s="32">
        <f>X5/DV5*2</f>
        <v>3.3312817197935635E-2</v>
      </c>
      <c r="AH5" s="32">
        <f>(P5+S5+T5)/DV5*2</f>
        <v>4.1280718034507509E-2</v>
      </c>
      <c r="AI5" s="32">
        <f>R5/DV5*2</f>
        <v>3.4387956135320752E-2</v>
      </c>
      <c r="AJ5" s="34">
        <f>X5/FZ5*2</f>
        <v>0.11197103082593556</v>
      </c>
      <c r="AK5" s="35"/>
      <c r="AL5" s="36">
        <f t="shared" ref="AL5:AL48" si="15">(GF5-GE5)/GE5</f>
        <v>9.682190787318172E-2</v>
      </c>
      <c r="AM5" s="33">
        <f t="shared" ref="AM5:AM48" si="16">(GN5-GM5)/GM5</f>
        <v>0.11327828964021013</v>
      </c>
      <c r="AN5" s="34">
        <f t="shared" ref="AN5:AN48" si="17">(GR5-GQ5)/GQ5</f>
        <v>7.4421596844323451E-2</v>
      </c>
      <c r="AO5" s="28"/>
      <c r="AP5" s="36">
        <f t="shared" ref="AP5:AP48" si="18">G5/E5</f>
        <v>0.87039447926243219</v>
      </c>
      <c r="AQ5" s="33">
        <f t="shared" ref="AQ5:AQ48" si="19">CN5/(CN5+CM5+CP5+CS5)</f>
        <v>0.81179447729546683</v>
      </c>
      <c r="AR5" s="33">
        <f t="shared" ref="AR5:AR48" si="20">((CM5+CP5+CS5)-CW5)/CL5</f>
        <v>2.0944573499609428E-2</v>
      </c>
      <c r="AS5" s="33">
        <f t="shared" ref="AS5:AS48" si="21">(CM5+CP5+50%*F5)/C5</f>
        <v>0.35627617095811343</v>
      </c>
      <c r="AT5" s="33">
        <f t="shared" ref="AT5:AT48" si="22">CW5/CU5</f>
        <v>0.14120688433694958</v>
      </c>
      <c r="AU5" s="37">
        <v>1.88</v>
      </c>
      <c r="AV5" s="38">
        <v>1.35</v>
      </c>
      <c r="AW5" s="28"/>
      <c r="AX5" s="36">
        <f>GB5/C5</f>
        <v>0.13172882599365746</v>
      </c>
      <c r="AY5" s="33">
        <v>0.11210000000000001</v>
      </c>
      <c r="AZ5" s="33">
        <f t="shared" ref="AZ5:AZ48" si="23">(DR5)/DX5</f>
        <v>0.27869661154918585</v>
      </c>
      <c r="BA5" s="33">
        <f t="shared" ref="BA5:BA48" si="24">(DS5)/DX5</f>
        <v>0.27869661154918585</v>
      </c>
      <c r="BB5" s="34">
        <f t="shared" ref="BB5:BB48" si="25">(DT5)/DX5</f>
        <v>0.29482645897158244</v>
      </c>
      <c r="BC5" s="33"/>
      <c r="BD5" s="36">
        <f t="shared" ref="BD5:BD48" si="26">DZ5/EC5</f>
        <v>0.22542691926641906</v>
      </c>
      <c r="BE5" s="33">
        <f t="shared" ref="BE5:BE48" si="27">EA5/EC5</f>
        <v>0.22974222916442977</v>
      </c>
      <c r="BF5" s="34">
        <f t="shared" ref="BF5:BF48" si="28">EB5/EC5</f>
        <v>0.24862230889334103</v>
      </c>
      <c r="BG5" s="25"/>
      <c r="BH5" s="39">
        <v>1.7999999999999999E-2</v>
      </c>
      <c r="BI5" s="36">
        <f t="shared" ref="BI5:BI47" si="29">BH5*56.25%</f>
        <v>1.0124999999999999E-2</v>
      </c>
      <c r="BJ5" s="34">
        <f t="shared" ref="BJ5:BJ47" si="30">BH5*75%</f>
        <v>1.3499999999999998E-2</v>
      </c>
      <c r="BK5" s="39">
        <v>1.4999999999999999E-2</v>
      </c>
      <c r="BL5" s="33"/>
      <c r="BM5" s="40">
        <f t="shared" ref="BM5:BM47" si="31">BD5-(4.5%+2.5%+4.5%+2.5%+BI5)</f>
        <v>7.5301919266419048E-2</v>
      </c>
      <c r="BN5" s="41">
        <f t="shared" ref="BN5:BN47" si="32">BE5-(6%+2.5%+4.5%+2.5%+BJ5)</f>
        <v>6.1242229164429784E-2</v>
      </c>
      <c r="BO5" s="41">
        <f t="shared" ref="BO5:BO47" si="33">BF5-(8%+2.5%+4.5%+2.5%+BH5)</f>
        <v>5.5622308893341021E-2</v>
      </c>
      <c r="BP5" s="28"/>
      <c r="BQ5" s="31">
        <f>Q5/GD5*2</f>
        <v>-6.4929154403956435E-4</v>
      </c>
      <c r="BR5" s="33">
        <f t="shared" ref="BR5:BR48" si="34">Q5/(P5+S5+T5)</f>
        <v>-2.849458070357647E-2</v>
      </c>
      <c r="BS5" s="32">
        <f>FC5/E5</f>
        <v>1.7160514951755898E-2</v>
      </c>
      <c r="BT5" s="33">
        <f t="shared" ref="BT5:BT48" si="35">FC5/(GB5+FG5)</f>
        <v>0.1017496797269296</v>
      </c>
      <c r="BU5" s="33">
        <f t="shared" ref="BU5:BU48" si="36">FR5/FT5</f>
        <v>0.84150645719804296</v>
      </c>
      <c r="BV5" s="34">
        <f t="shared" ref="BV5:BV48" si="37">(BU5*E5+F5)/(E5+F5)</f>
        <v>0.89438639024180489</v>
      </c>
      <c r="BW5" s="28"/>
      <c r="BX5" s="27">
        <v>81.144999999999996</v>
      </c>
      <c r="BY5" s="28">
        <v>285.34800000000001</v>
      </c>
      <c r="BZ5" s="29">
        <f t="shared" ref="BZ5:BZ47" si="38">BX5+BY5</f>
        <v>366.49299999999999</v>
      </c>
      <c r="CA5" s="25">
        <v>6896.18</v>
      </c>
      <c r="CB5" s="28">
        <v>14.481999999999999</v>
      </c>
      <c r="CC5" s="28">
        <v>18.087</v>
      </c>
      <c r="CD5" s="29">
        <f t="shared" ref="CD5:CD47" si="39">CA5-CB5-CC5</f>
        <v>6863.6109999999999</v>
      </c>
      <c r="CE5" s="28">
        <v>845.34900000000005</v>
      </c>
      <c r="CF5" s="28">
        <v>420.69099999999997</v>
      </c>
      <c r="CG5" s="29">
        <f t="shared" ref="CG5:CG47" si="40">CE5+CF5</f>
        <v>1266.04</v>
      </c>
      <c r="CH5" s="28">
        <v>0</v>
      </c>
      <c r="CI5" s="28">
        <v>0</v>
      </c>
      <c r="CJ5" s="28">
        <v>84.49</v>
      </c>
      <c r="CK5" s="28">
        <v>1.3979999999990156</v>
      </c>
      <c r="CL5" s="29">
        <f t="shared" ref="CL5:CL47" si="41">BZ5+CD5+CG5+CH5+CI5+CJ5+CK5</f>
        <v>8582.0319999999992</v>
      </c>
      <c r="CM5" s="28">
        <v>0.83499999999999996</v>
      </c>
      <c r="CN5" s="25">
        <v>6002.3969999999999</v>
      </c>
      <c r="CO5" s="29">
        <f t="shared" ref="CO5:CO47" si="42">CM5+CN5</f>
        <v>6003.232</v>
      </c>
      <c r="CP5" s="28">
        <v>1330.306</v>
      </c>
      <c r="CQ5" s="28">
        <v>57.544999999999163</v>
      </c>
      <c r="CR5" s="29">
        <f t="shared" ref="CR5:CR47" si="43">CP5+CQ5</f>
        <v>1387.8509999999992</v>
      </c>
      <c r="CS5" s="28">
        <v>60.448</v>
      </c>
      <c r="CT5" s="28">
        <v>1130.501</v>
      </c>
      <c r="CU5" s="42">
        <f t="shared" ref="CU5:CU47" si="44">CO5+CR5+CS5+CT5</f>
        <v>8582.0319999999992</v>
      </c>
      <c r="CV5" s="28"/>
      <c r="CW5" s="43">
        <v>1211.8420000000001</v>
      </c>
      <c r="CX5" s="28"/>
      <c r="CY5" s="24">
        <v>0</v>
      </c>
      <c r="CZ5" s="25">
        <v>95</v>
      </c>
      <c r="DA5" s="25">
        <v>265</v>
      </c>
      <c r="DB5" s="25">
        <v>200</v>
      </c>
      <c r="DC5" s="25">
        <v>345</v>
      </c>
      <c r="DD5" s="25">
        <v>150</v>
      </c>
      <c r="DE5" s="26">
        <f t="shared" ref="DE5:DE47" si="45">CY5+CZ5+DA5+DB5+DC5+DD5</f>
        <v>1055</v>
      </c>
      <c r="DF5" s="34">
        <f t="shared" ref="DF5:DF48" si="46">DE5/C5</f>
        <v>0.12293125917032238</v>
      </c>
      <c r="DG5" s="25"/>
      <c r="DH5" s="44" t="s">
        <v>229</v>
      </c>
      <c r="DI5" s="45">
        <v>52.4</v>
      </c>
      <c r="DJ5" s="46">
        <v>6</v>
      </c>
      <c r="DK5" s="45" t="s">
        <v>168</v>
      </c>
      <c r="DL5" s="47" t="s">
        <v>169</v>
      </c>
      <c r="DM5" s="48" t="s">
        <v>170</v>
      </c>
      <c r="DN5" s="39">
        <v>4.6202503718890918E-2</v>
      </c>
      <c r="DO5" s="49"/>
      <c r="DP5" s="41"/>
      <c r="DQ5" s="25"/>
      <c r="DR5" s="24">
        <v>1036.6990000000001</v>
      </c>
      <c r="DS5" s="25">
        <v>1036.6990000000001</v>
      </c>
      <c r="DT5" s="26">
        <v>1096.6990000000001</v>
      </c>
      <c r="DU5" s="25"/>
      <c r="DV5" s="44">
        <f t="shared" ref="DV5:DV47" si="47">DW5/2+DX5/2</f>
        <v>3638.5995000000003</v>
      </c>
      <c r="DW5" s="25">
        <v>3557.3870000000002</v>
      </c>
      <c r="DX5" s="26">
        <v>3719.8119999999999</v>
      </c>
      <c r="DY5" s="25"/>
      <c r="DZ5" s="50">
        <v>1035.0609999999999</v>
      </c>
      <c r="EA5" s="51">
        <v>1054.875</v>
      </c>
      <c r="EB5" s="51">
        <v>1141.5640000000001</v>
      </c>
      <c r="EC5" s="52">
        <v>4591.5590000000002</v>
      </c>
      <c r="ED5" s="25"/>
      <c r="EE5" s="24">
        <v>28.51688729</v>
      </c>
      <c r="EF5" s="25">
        <v>18.156007670000001</v>
      </c>
      <c r="EG5" s="25">
        <v>167.18799999999999</v>
      </c>
      <c r="EH5" s="25">
        <v>81.506</v>
      </c>
      <c r="EI5" s="25">
        <v>624.98316749000003</v>
      </c>
      <c r="EJ5" s="25">
        <v>84.440196610000001</v>
      </c>
      <c r="EK5" s="25">
        <v>37.527999999999999</v>
      </c>
      <c r="EL5" s="25">
        <v>0</v>
      </c>
      <c r="EM5" s="26">
        <v>5576.0709999999999</v>
      </c>
      <c r="EN5" s="26">
        <f t="shared" ref="EN5:EN47" si="48">EE5+EF5+EG5+EH5+EI5+EK5+EL5+EM5+EJ5</f>
        <v>6618.3892590599999</v>
      </c>
      <c r="EO5" s="45"/>
      <c r="EP5" s="36">
        <f t="shared" ref="EP5:EP47" si="49">EE5/$EN5</f>
        <v>4.3087352788992971E-3</v>
      </c>
      <c r="EQ5" s="33">
        <f t="shared" ref="EQ5:EQ47" si="50">EF5/$EN5</f>
        <v>2.7432668220815216E-3</v>
      </c>
      <c r="ER5" s="33">
        <f t="shared" ref="ER5:ER47" si="51">EG5/$EN5</f>
        <v>2.526113128978235E-2</v>
      </c>
      <c r="ES5" s="33">
        <f t="shared" ref="ES5:ES47" si="52">EH5/$EN5</f>
        <v>1.2315081027974498E-2</v>
      </c>
      <c r="ET5" s="33">
        <f t="shared" ref="ET5:ET47" si="53">EI5/$EN5</f>
        <v>9.4431309949690914E-2</v>
      </c>
      <c r="EU5" s="33">
        <f t="shared" ref="EU5:EU47" si="54">EJ5/$EN5</f>
        <v>1.2758421015265716E-2</v>
      </c>
      <c r="EV5" s="33">
        <f t="shared" ref="EV5:EV47" si="55">EK5/$EN5</f>
        <v>5.6702618312495642E-3</v>
      </c>
      <c r="EW5" s="33">
        <f t="shared" ref="EW5:EW47" si="56">EL5/$EN5</f>
        <v>0</v>
      </c>
      <c r="EX5" s="33">
        <f t="shared" ref="EX5:EX47" si="57">EM5/$EN5</f>
        <v>0.84251179278505617</v>
      </c>
      <c r="EY5" s="39">
        <f t="shared" ref="EY5:EY48" si="58">EP5+EQ5+ER5+ES5+ET5+EV5+EW5+EX5+EU5</f>
        <v>1</v>
      </c>
      <c r="EZ5" s="45"/>
      <c r="FA5" s="27">
        <v>81.509</v>
      </c>
      <c r="FB5" s="28">
        <v>36.832999999999998</v>
      </c>
      <c r="FC5" s="42">
        <f t="shared" ref="FC5:FC47" si="59">FA5+FB5</f>
        <v>118.342</v>
      </c>
      <c r="FE5" s="27">
        <f>CB5</f>
        <v>14.481999999999999</v>
      </c>
      <c r="FF5" s="28">
        <f>CC5</f>
        <v>18.087</v>
      </c>
      <c r="FG5" s="42">
        <f t="shared" ref="FG5:FG47" si="60">FE5+FF5</f>
        <v>32.569000000000003</v>
      </c>
      <c r="FI5" s="53">
        <v>6295.22</v>
      </c>
      <c r="FJ5" s="54">
        <v>488.02</v>
      </c>
      <c r="FK5" s="55">
        <v>112.634</v>
      </c>
      <c r="FL5" s="56">
        <f t="shared" ref="FL5:FL47" si="61">FI5+FJ5+FK5</f>
        <v>6895.8739999999998</v>
      </c>
      <c r="FM5" s="57">
        <f t="shared" ref="FM5:FM48" si="62">FI5/FL5</f>
        <v>0.91289661034989911</v>
      </c>
      <c r="FN5" s="58">
        <f t="shared" ref="FN5:FN48" si="63">FJ5/FL5</f>
        <v>7.0769854553606987E-2</v>
      </c>
      <c r="FO5" s="59">
        <f t="shared" ref="FO5:FO48" si="64">FK5/FL5</f>
        <v>1.6333535096493934E-2</v>
      </c>
      <c r="FP5" s="60">
        <f t="shared" ref="FP5:FP48" si="65">FM5+FN5+FO5</f>
        <v>1</v>
      </c>
      <c r="FR5" s="24">
        <f>FV5*E5</f>
        <v>5803.18</v>
      </c>
      <c r="FS5" s="25">
        <f>E5*FW5</f>
        <v>1093.0000000000002</v>
      </c>
      <c r="FT5" s="26">
        <f t="shared" ref="FT5:FT47" si="66">FR5+FS5</f>
        <v>6896.18</v>
      </c>
      <c r="FV5" s="36">
        <v>0.84150645719804296</v>
      </c>
      <c r="FW5" s="33">
        <v>0.15849354280195704</v>
      </c>
      <c r="FX5" s="34">
        <f t="shared" ref="FX5:FX48" si="67">FV5+FW5</f>
        <v>1</v>
      </c>
      <c r="FY5" s="45"/>
      <c r="FZ5" s="44">
        <f t="shared" ref="FZ5:FZ47" si="68">GA5/2+GB5/2</f>
        <v>1082.53</v>
      </c>
      <c r="GA5" s="25">
        <v>1034.559</v>
      </c>
      <c r="GB5" s="26">
        <v>1130.501</v>
      </c>
      <c r="GD5" s="44">
        <f t="shared" ref="GD5:GD47" si="69">GE5/2+GF5/2</f>
        <v>6591.8</v>
      </c>
      <c r="GE5" s="25">
        <v>6287.42</v>
      </c>
      <c r="GF5" s="26">
        <v>6896.18</v>
      </c>
      <c r="GH5" s="44">
        <f t="shared" ref="GH5:GH47" si="70">GI5/2+GJ5/2</f>
        <v>3230.7269999999999</v>
      </c>
      <c r="GI5" s="25">
        <v>3008.5889999999999</v>
      </c>
      <c r="GJ5" s="26">
        <f>F5</f>
        <v>3452.8649999999998</v>
      </c>
      <c r="GL5" s="44">
        <f t="shared" ref="GL5:GL47" si="71">GM5/2+GN5/2</f>
        <v>9822.527</v>
      </c>
      <c r="GM5" s="45">
        <f t="shared" ref="GM5:GM47" si="72">GE5+GI5</f>
        <v>9296.009</v>
      </c>
      <c r="GN5" s="46">
        <f t="shared" ref="GN5:GN47" si="73">GF5+GJ5</f>
        <v>10349.045</v>
      </c>
      <c r="GP5" s="44">
        <f t="shared" ref="GP5:GP47" si="74">GQ5/2+GR5/2</f>
        <v>5794.5140000000001</v>
      </c>
      <c r="GQ5" s="25">
        <v>5586.6310000000003</v>
      </c>
      <c r="GR5" s="26">
        <f>G5</f>
        <v>6002.3969999999999</v>
      </c>
      <c r="GS5" s="25"/>
      <c r="GT5" s="44">
        <f t="shared" ref="GT5:GT47" si="75">GU5/2+GV5/2</f>
        <v>8250.5344999999998</v>
      </c>
      <c r="GU5" s="25">
        <v>7919.0370000000003</v>
      </c>
      <c r="GV5" s="26">
        <f>C5</f>
        <v>8582.0319999999992</v>
      </c>
      <c r="GW5" s="25"/>
      <c r="GX5" s="61">
        <f>DX5/C5</f>
        <v>0.43344187017713293</v>
      </c>
      <c r="GY5" s="62"/>
    </row>
    <row r="6" spans="1:207" x14ac:dyDescent="0.25">
      <c r="A6" s="1"/>
      <c r="B6" s="23" t="s">
        <v>171</v>
      </c>
      <c r="C6" s="24">
        <v>20247.118999999999</v>
      </c>
      <c r="D6" s="25">
        <f t="shared" si="0"/>
        <v>19456.177</v>
      </c>
      <c r="E6" s="25">
        <v>17024.487000000001</v>
      </c>
      <c r="F6" s="25">
        <v>3930.3449999999998</v>
      </c>
      <c r="G6" s="25">
        <v>12208.875</v>
      </c>
      <c r="H6" s="25">
        <f t="shared" si="1"/>
        <v>24177.464</v>
      </c>
      <c r="I6" s="26">
        <f t="shared" si="2"/>
        <v>20954.832000000002</v>
      </c>
      <c r="J6" s="25"/>
      <c r="K6" s="27">
        <v>180.941</v>
      </c>
      <c r="L6" s="28">
        <v>34.720999999999997</v>
      </c>
      <c r="M6" s="28">
        <v>3.1E-2</v>
      </c>
      <c r="N6" s="29">
        <f t="shared" si="3"/>
        <v>215.69300000000001</v>
      </c>
      <c r="O6" s="28">
        <v>86.638999999999996</v>
      </c>
      <c r="P6" s="29">
        <f t="shared" si="4"/>
        <v>129.05400000000003</v>
      </c>
      <c r="Q6" s="28">
        <v>1.208</v>
      </c>
      <c r="R6" s="29">
        <f t="shared" si="5"/>
        <v>127.84600000000003</v>
      </c>
      <c r="S6" s="28">
        <v>21.305999999999997</v>
      </c>
      <c r="T6" s="28">
        <v>19.045000000000002</v>
      </c>
      <c r="U6" s="28">
        <v>0</v>
      </c>
      <c r="V6" s="29">
        <f t="shared" si="6"/>
        <v>168.19700000000006</v>
      </c>
      <c r="W6" s="28">
        <v>38.021999999999998</v>
      </c>
      <c r="X6" s="30">
        <f t="shared" si="7"/>
        <v>130.17500000000007</v>
      </c>
      <c r="Y6" s="28"/>
      <c r="Z6" s="31">
        <f t="shared" si="8"/>
        <v>1.8599851347980645E-2</v>
      </c>
      <c r="AA6" s="32">
        <f t="shared" si="9"/>
        <v>3.5691492732616483E-3</v>
      </c>
      <c r="AB6" s="33">
        <f t="shared" si="10"/>
        <v>0.3383754354720282</v>
      </c>
      <c r="AC6" s="33">
        <f t="shared" si="11"/>
        <v>0.36556694332043588</v>
      </c>
      <c r="AD6" s="33">
        <f t="shared" si="12"/>
        <v>0.40167738405975156</v>
      </c>
      <c r="AE6" s="32">
        <f t="shared" si="13"/>
        <v>8.9060661814497257E-3</v>
      </c>
      <c r="AF6" s="32">
        <f t="shared" si="14"/>
        <v>1.338135441510427E-2</v>
      </c>
      <c r="AG6" s="32">
        <f>X6/DV6*2</f>
        <v>2.6574613471302903E-2</v>
      </c>
      <c r="AH6" s="32">
        <f>(P6+S6+T6)/DV6*2</f>
        <v>3.4583233302139943E-2</v>
      </c>
      <c r="AI6" s="32">
        <f>R6/DV6*2</f>
        <v>2.6099159084710506E-2</v>
      </c>
      <c r="AJ6" s="34">
        <f>X6/FZ6*2</f>
        <v>0.12417812776491301</v>
      </c>
      <c r="AK6" s="35"/>
      <c r="AL6" s="36">
        <f t="shared" si="15"/>
        <v>8.0366113316400686E-2</v>
      </c>
      <c r="AM6" s="33">
        <f t="shared" si="16"/>
        <v>0.12747348035210404</v>
      </c>
      <c r="AN6" s="34">
        <f t="shared" si="17"/>
        <v>0.10682337441981608</v>
      </c>
      <c r="AO6" s="28"/>
      <c r="AP6" s="36">
        <f t="shared" si="18"/>
        <v>0.7171361463050252</v>
      </c>
      <c r="AQ6" s="33">
        <f t="shared" si="19"/>
        <v>0.68129981661803751</v>
      </c>
      <c r="AR6" s="33">
        <f t="shared" si="20"/>
        <v>0.18526487644982972</v>
      </c>
      <c r="AS6" s="33">
        <f t="shared" si="21"/>
        <v>0.35315313255184605</v>
      </c>
      <c r="AT6" s="33">
        <f t="shared" si="22"/>
        <v>9.6804834307537793E-2</v>
      </c>
      <c r="AU6" s="37">
        <v>2.1800000000000002</v>
      </c>
      <c r="AV6" s="38">
        <v>1.39</v>
      </c>
      <c r="AW6" s="28"/>
      <c r="AX6" s="36">
        <f>GB6/C6</f>
        <v>0.10654034285075326</v>
      </c>
      <c r="AY6" s="33">
        <v>0.1041</v>
      </c>
      <c r="AZ6" s="33">
        <f t="shared" si="23"/>
        <v>0.2052026655254631</v>
      </c>
      <c r="BA6" s="33">
        <f t="shared" si="24"/>
        <v>0.22828249547737908</v>
      </c>
      <c r="BB6" s="34">
        <f t="shared" si="25"/>
        <v>0.25915181932657771</v>
      </c>
      <c r="BC6" s="33"/>
      <c r="BD6" s="36">
        <f t="shared" si="26"/>
        <v>0.18562590114589281</v>
      </c>
      <c r="BE6" s="33">
        <f t="shared" si="27"/>
        <v>0.20854775358820438</v>
      </c>
      <c r="BF6" s="34">
        <f t="shared" si="28"/>
        <v>0.23922521085013346</v>
      </c>
      <c r="BG6" s="25"/>
      <c r="BH6" s="39">
        <v>2.1000000000000001E-2</v>
      </c>
      <c r="BI6" s="36">
        <f t="shared" si="29"/>
        <v>1.18125E-2</v>
      </c>
      <c r="BJ6" s="34">
        <f t="shared" si="30"/>
        <v>1.575E-2</v>
      </c>
      <c r="BK6" s="65">
        <v>1.2500000000000001E-2</v>
      </c>
      <c r="BL6" s="33"/>
      <c r="BM6" s="39">
        <f t="shared" si="31"/>
        <v>3.3813401145892791E-2</v>
      </c>
      <c r="BN6" s="34">
        <f t="shared" si="32"/>
        <v>3.7797753588204364E-2</v>
      </c>
      <c r="BO6" s="34">
        <f t="shared" si="33"/>
        <v>4.322521085013345E-2</v>
      </c>
      <c r="BP6" s="28"/>
      <c r="BQ6" s="31">
        <f>Q6/GD6*2</f>
        <v>1.4739544890318048E-4</v>
      </c>
      <c r="BR6" s="33">
        <f t="shared" si="34"/>
        <v>7.1308402939700699E-3</v>
      </c>
      <c r="BS6" s="32">
        <f>FC6/E6</f>
        <v>3.5594611455840048E-3</v>
      </c>
      <c r="BT6" s="33">
        <f t="shared" si="35"/>
        <v>2.7342200740790534E-2</v>
      </c>
      <c r="BU6" s="33">
        <f t="shared" si="36"/>
        <v>0.67449433278077631</v>
      </c>
      <c r="BV6" s="34">
        <f t="shared" si="37"/>
        <v>0.73554705664068309</v>
      </c>
      <c r="BW6" s="28"/>
      <c r="BX6" s="27">
        <v>82.257999999999996</v>
      </c>
      <c r="BY6" s="28">
        <v>712.54899999999998</v>
      </c>
      <c r="BZ6" s="29">
        <f t="shared" si="38"/>
        <v>794.80700000000002</v>
      </c>
      <c r="CA6" s="25">
        <v>17024.487000000001</v>
      </c>
      <c r="CB6" s="28">
        <v>13.923</v>
      </c>
      <c r="CC6" s="28">
        <v>45.222999999999999</v>
      </c>
      <c r="CD6" s="29">
        <f t="shared" si="39"/>
        <v>16965.341</v>
      </c>
      <c r="CE6" s="28">
        <v>1159.0930000000001</v>
      </c>
      <c r="CF6" s="28">
        <v>1217.3030000000001</v>
      </c>
      <c r="CG6" s="29">
        <f t="shared" si="40"/>
        <v>2376.3960000000002</v>
      </c>
      <c r="CH6" s="28">
        <v>46.853999999999999</v>
      </c>
      <c r="CI6" s="28">
        <v>0</v>
      </c>
      <c r="CJ6" s="28">
        <v>48.145000000000003</v>
      </c>
      <c r="CK6" s="28">
        <v>15.575999999997542</v>
      </c>
      <c r="CL6" s="29">
        <f t="shared" si="41"/>
        <v>20247.118999999999</v>
      </c>
      <c r="CM6" s="28">
        <v>0.86199999999999999</v>
      </c>
      <c r="CN6" s="25">
        <v>12208.875</v>
      </c>
      <c r="CO6" s="29">
        <f t="shared" si="42"/>
        <v>12209.736999999999</v>
      </c>
      <c r="CP6" s="28">
        <v>5184.299</v>
      </c>
      <c r="CQ6" s="28">
        <v>170.00999999999931</v>
      </c>
      <c r="CR6" s="29">
        <f t="shared" si="43"/>
        <v>5354.3089999999993</v>
      </c>
      <c r="CS6" s="28">
        <v>525.93799999999999</v>
      </c>
      <c r="CT6" s="28">
        <v>2157.1350000000002</v>
      </c>
      <c r="CU6" s="42">
        <f t="shared" si="44"/>
        <v>20247.118999999999</v>
      </c>
      <c r="CV6" s="28"/>
      <c r="CW6" s="43">
        <v>1960.0190000000002</v>
      </c>
      <c r="CX6" s="28"/>
      <c r="CY6" s="24">
        <v>430</v>
      </c>
      <c r="CZ6" s="25">
        <v>1275</v>
      </c>
      <c r="DA6" s="25">
        <v>900</v>
      </c>
      <c r="DB6" s="25">
        <v>1050</v>
      </c>
      <c r="DC6" s="25">
        <v>1775</v>
      </c>
      <c r="DD6" s="25">
        <v>275</v>
      </c>
      <c r="DE6" s="26">
        <f t="shared" si="45"/>
        <v>5705</v>
      </c>
      <c r="DF6" s="34">
        <f t="shared" si="46"/>
        <v>0.28176848271598542</v>
      </c>
      <c r="DG6" s="25"/>
      <c r="DH6" s="44" t="s">
        <v>229</v>
      </c>
      <c r="DI6" s="45">
        <v>70.599999999999994</v>
      </c>
      <c r="DJ6" s="46">
        <v>8</v>
      </c>
      <c r="DK6" s="45" t="s">
        <v>168</v>
      </c>
      <c r="DL6" s="47" t="s">
        <v>169</v>
      </c>
      <c r="DM6" s="48" t="s">
        <v>172</v>
      </c>
      <c r="DN6" s="39">
        <v>0.3693968992865625</v>
      </c>
      <c r="DO6" s="66" t="s">
        <v>173</v>
      </c>
      <c r="DP6" s="67" t="s">
        <v>174</v>
      </c>
      <c r="DQ6" s="25"/>
      <c r="DR6" s="24">
        <v>2000.4740000000002</v>
      </c>
      <c r="DS6" s="25">
        <v>2225.4740000000002</v>
      </c>
      <c r="DT6" s="26">
        <v>2526.4119999999998</v>
      </c>
      <c r="DU6" s="25"/>
      <c r="DV6" s="44">
        <f t="shared" si="47"/>
        <v>9796.9439999999995</v>
      </c>
      <c r="DW6" s="25">
        <v>9845.116</v>
      </c>
      <c r="DX6" s="26">
        <v>9748.7720000000008</v>
      </c>
      <c r="DY6" s="25"/>
      <c r="DZ6" s="24">
        <v>1997.4469999999999</v>
      </c>
      <c r="EA6" s="25">
        <v>2244.1</v>
      </c>
      <c r="EB6" s="25">
        <v>2574.2080000000001</v>
      </c>
      <c r="EC6" s="26">
        <v>10760.605</v>
      </c>
      <c r="ED6" s="25"/>
      <c r="EE6" s="24">
        <v>15.936</v>
      </c>
      <c r="EF6" s="25">
        <v>12.271000000000001</v>
      </c>
      <c r="EG6" s="25">
        <v>2143.09</v>
      </c>
      <c r="EH6" s="25">
        <v>213.19200000000001</v>
      </c>
      <c r="EI6" s="25">
        <v>2457.1109999999999</v>
      </c>
      <c r="EJ6" s="25">
        <v>278.72999999999996</v>
      </c>
      <c r="EK6" s="25">
        <v>7.0749999999999993</v>
      </c>
      <c r="EL6" s="25">
        <v>81.723999999998341</v>
      </c>
      <c r="EM6" s="26">
        <v>10989.766</v>
      </c>
      <c r="EN6" s="26">
        <f t="shared" si="48"/>
        <v>16198.894999999997</v>
      </c>
      <c r="EO6" s="45"/>
      <c r="EP6" s="36">
        <f t="shared" si="49"/>
        <v>9.8377080658896806E-4</v>
      </c>
      <c r="EQ6" s="33">
        <f t="shared" si="50"/>
        <v>7.5752080620313932E-4</v>
      </c>
      <c r="ER6" s="33">
        <f t="shared" si="51"/>
        <v>0.132298530239254</v>
      </c>
      <c r="ES6" s="33">
        <f t="shared" si="52"/>
        <v>1.3160897703207537E-2</v>
      </c>
      <c r="ET6" s="33">
        <f t="shared" si="53"/>
        <v>0.15168386485621399</v>
      </c>
      <c r="EU6" s="33">
        <f t="shared" si="54"/>
        <v>1.7206729224431668E-2</v>
      </c>
      <c r="EV6" s="33">
        <f t="shared" si="55"/>
        <v>4.3675818628369407E-4</v>
      </c>
      <c r="EW6" s="33">
        <f t="shared" si="56"/>
        <v>5.045035479271787E-3</v>
      </c>
      <c r="EX6" s="33">
        <f t="shared" si="57"/>
        <v>0.67842689269854528</v>
      </c>
      <c r="EY6" s="39">
        <f t="shared" si="58"/>
        <v>1</v>
      </c>
      <c r="EZ6" s="45"/>
      <c r="FA6" s="27">
        <v>54.539000000000001</v>
      </c>
      <c r="FB6" s="28">
        <v>6.0590000000000002</v>
      </c>
      <c r="FC6" s="42">
        <f t="shared" si="59"/>
        <v>60.597999999999999</v>
      </c>
      <c r="FE6" s="27">
        <f>CB6</f>
        <v>13.923</v>
      </c>
      <c r="FF6" s="28">
        <f>CC6</f>
        <v>45.222999999999999</v>
      </c>
      <c r="FG6" s="42">
        <f t="shared" si="60"/>
        <v>59.146000000000001</v>
      </c>
      <c r="FI6" s="53">
        <v>15423.076999999999</v>
      </c>
      <c r="FJ6" s="54">
        <v>1506.172</v>
      </c>
      <c r="FK6" s="55">
        <v>73.97</v>
      </c>
      <c r="FL6" s="56">
        <f t="shared" si="61"/>
        <v>17003.219000000001</v>
      </c>
      <c r="FM6" s="57">
        <f t="shared" si="62"/>
        <v>0.90706806752297897</v>
      </c>
      <c r="FN6" s="58">
        <f t="shared" si="63"/>
        <v>8.8581579758515133E-2</v>
      </c>
      <c r="FO6" s="59">
        <f t="shared" si="64"/>
        <v>4.3503527185058313E-3</v>
      </c>
      <c r="FP6" s="61">
        <f t="shared" si="65"/>
        <v>0.99999999999999989</v>
      </c>
      <c r="FR6" s="24">
        <f>FV6*E6</f>
        <v>11482.92</v>
      </c>
      <c r="FS6" s="25">
        <f>E6*FW6</f>
        <v>5541.567</v>
      </c>
      <c r="FT6" s="26">
        <f t="shared" si="66"/>
        <v>17024.487000000001</v>
      </c>
      <c r="FV6" s="36">
        <v>0.67449433278077631</v>
      </c>
      <c r="FW6" s="33">
        <v>0.32550566721922369</v>
      </c>
      <c r="FX6" s="34">
        <f t="shared" si="67"/>
        <v>1</v>
      </c>
      <c r="FY6" s="45"/>
      <c r="FZ6" s="44">
        <f t="shared" si="68"/>
        <v>2096.585</v>
      </c>
      <c r="GA6" s="25">
        <v>2036.0349999999999</v>
      </c>
      <c r="GB6" s="26">
        <v>2157.1350000000002</v>
      </c>
      <c r="GD6" s="44">
        <f t="shared" si="69"/>
        <v>16391.279500000001</v>
      </c>
      <c r="GE6" s="25">
        <v>15758.072</v>
      </c>
      <c r="GF6" s="26">
        <v>17024.487000000001</v>
      </c>
      <c r="GH6" s="44">
        <f t="shared" si="70"/>
        <v>3378.9634999999998</v>
      </c>
      <c r="GI6" s="25">
        <v>2827.5819999999999</v>
      </c>
      <c r="GJ6" s="26">
        <f>F6</f>
        <v>3930.3449999999998</v>
      </c>
      <c r="GL6" s="44">
        <f t="shared" si="71"/>
        <v>19770.243000000002</v>
      </c>
      <c r="GM6" s="45">
        <f t="shared" si="72"/>
        <v>18585.653999999999</v>
      </c>
      <c r="GN6" s="46">
        <f t="shared" si="73"/>
        <v>20954.832000000002</v>
      </c>
      <c r="GP6" s="44">
        <f t="shared" si="74"/>
        <v>11619.7145</v>
      </c>
      <c r="GQ6" s="25">
        <v>11030.554</v>
      </c>
      <c r="GR6" s="26">
        <f>G6</f>
        <v>12208.875</v>
      </c>
      <c r="GS6" s="25"/>
      <c r="GT6" s="44">
        <f t="shared" si="75"/>
        <v>19456.177</v>
      </c>
      <c r="GU6" s="25">
        <v>18665.235000000001</v>
      </c>
      <c r="GV6" s="26">
        <f>C6</f>
        <v>20247.118999999999</v>
      </c>
      <c r="GW6" s="25"/>
      <c r="GX6" s="61">
        <f>DX6/C6</f>
        <v>0.48148934176758684</v>
      </c>
      <c r="GY6" s="62"/>
    </row>
    <row r="7" spans="1:207" x14ac:dyDescent="0.25">
      <c r="A7" s="1"/>
      <c r="B7" s="23" t="s">
        <v>175</v>
      </c>
      <c r="C7" s="24">
        <v>4718.3829999999998</v>
      </c>
      <c r="D7" s="25">
        <f t="shared" si="0"/>
        <v>4538.8629999999994</v>
      </c>
      <c r="E7" s="25">
        <v>3606.9560000000001</v>
      </c>
      <c r="F7" s="25">
        <v>2005.962</v>
      </c>
      <c r="G7" s="25">
        <v>3362.2260000000001</v>
      </c>
      <c r="H7" s="25">
        <f t="shared" si="1"/>
        <v>6724.3449999999993</v>
      </c>
      <c r="I7" s="26">
        <f t="shared" si="2"/>
        <v>5612.9179999999997</v>
      </c>
      <c r="J7" s="25"/>
      <c r="K7" s="27">
        <v>54.137</v>
      </c>
      <c r="L7" s="28">
        <v>16.509999999999998</v>
      </c>
      <c r="M7" s="28">
        <v>0</v>
      </c>
      <c r="N7" s="29">
        <f t="shared" si="3"/>
        <v>70.646999999999991</v>
      </c>
      <c r="O7" s="28">
        <v>34.645000000000003</v>
      </c>
      <c r="P7" s="29">
        <f t="shared" si="4"/>
        <v>36.001999999999988</v>
      </c>
      <c r="Q7" s="28">
        <v>-0.16600000000000001</v>
      </c>
      <c r="R7" s="29">
        <f t="shared" si="5"/>
        <v>36.167999999999985</v>
      </c>
      <c r="S7" s="28">
        <v>13.152000000000001</v>
      </c>
      <c r="T7" s="28">
        <v>3.0629999999999997</v>
      </c>
      <c r="U7" s="28">
        <v>0</v>
      </c>
      <c r="V7" s="29">
        <f t="shared" si="6"/>
        <v>52.382999999999988</v>
      </c>
      <c r="W7" s="28">
        <v>9.4</v>
      </c>
      <c r="X7" s="30">
        <f t="shared" si="7"/>
        <v>42.98299999999999</v>
      </c>
      <c r="Y7" s="28"/>
      <c r="Z7" s="31">
        <f t="shared" si="8"/>
        <v>2.3854872905395032E-2</v>
      </c>
      <c r="AA7" s="32">
        <f t="shared" si="9"/>
        <v>7.2749496955515072E-3</v>
      </c>
      <c r="AB7" s="33">
        <f t="shared" si="10"/>
        <v>0.39885105109253766</v>
      </c>
      <c r="AC7" s="33">
        <f t="shared" si="11"/>
        <v>0.41342975453167707</v>
      </c>
      <c r="AD7" s="33">
        <f t="shared" si="12"/>
        <v>0.4903959120698686</v>
      </c>
      <c r="AE7" s="32">
        <f t="shared" si="13"/>
        <v>1.5265937746964386E-2</v>
      </c>
      <c r="AF7" s="32">
        <f t="shared" si="14"/>
        <v>1.8939985630762591E-2</v>
      </c>
      <c r="AG7" s="32">
        <f>X7/DV7*2</f>
        <v>4.0351478340053398E-2</v>
      </c>
      <c r="AH7" s="32">
        <f>(P7+S7+T7)/DV7*2</f>
        <v>4.9020150861563146E-2</v>
      </c>
      <c r="AI7" s="32">
        <f>R7/DV7*2</f>
        <v>3.3953708875672971E-2</v>
      </c>
      <c r="AJ7" s="34">
        <f>X7/FZ7*2</f>
        <v>0.10520853603165335</v>
      </c>
      <c r="AK7" s="35"/>
      <c r="AL7" s="36">
        <f t="shared" si="15"/>
        <v>7.8720652204794933E-2</v>
      </c>
      <c r="AM7" s="33">
        <f t="shared" si="16"/>
        <v>0.13010603783021299</v>
      </c>
      <c r="AN7" s="34">
        <f t="shared" si="17"/>
        <v>6.1436701016347357E-2</v>
      </c>
      <c r="AO7" s="28"/>
      <c r="AP7" s="36">
        <f t="shared" si="18"/>
        <v>0.93215054466979907</v>
      </c>
      <c r="AQ7" s="33">
        <f t="shared" si="19"/>
        <v>0.88712057168729441</v>
      </c>
      <c r="AR7" s="33">
        <f t="shared" si="20"/>
        <v>-5.9509158116244493E-2</v>
      </c>
      <c r="AS7" s="33">
        <f t="shared" si="21"/>
        <v>0.30323926650295241</v>
      </c>
      <c r="AT7" s="33">
        <f t="shared" si="22"/>
        <v>0.15017962721551006</v>
      </c>
      <c r="AU7" s="37">
        <v>4.72</v>
      </c>
      <c r="AV7" s="38">
        <v>1.4</v>
      </c>
      <c r="AW7" s="28"/>
      <c r="AX7" s="36">
        <f>GB7/C7</f>
        <v>0.1802589997463114</v>
      </c>
      <c r="AY7" s="33">
        <v>0.15609999999999999</v>
      </c>
      <c r="AZ7" s="33">
        <f t="shared" si="23"/>
        <v>0.37171986173949911</v>
      </c>
      <c r="BA7" s="33">
        <f t="shared" si="24"/>
        <v>0.37171986173949911</v>
      </c>
      <c r="BB7" s="34">
        <f t="shared" si="25"/>
        <v>0.37171986173949911</v>
      </c>
      <c r="BC7" s="33"/>
      <c r="BD7" s="36">
        <f t="shared" si="26"/>
        <v>0.29744262384108761</v>
      </c>
      <c r="BE7" s="33">
        <f t="shared" si="27"/>
        <v>0.30185388275260749</v>
      </c>
      <c r="BF7" s="34">
        <f t="shared" si="28"/>
        <v>0.30779665593613575</v>
      </c>
      <c r="BG7" s="25"/>
      <c r="BH7" s="39">
        <v>0.02</v>
      </c>
      <c r="BI7" s="36">
        <f t="shared" si="29"/>
        <v>1.125E-2</v>
      </c>
      <c r="BJ7" s="34">
        <f t="shared" si="30"/>
        <v>1.4999999999999999E-2</v>
      </c>
      <c r="BK7" s="39">
        <v>1.4999999999999999E-2</v>
      </c>
      <c r="BL7" s="33"/>
      <c r="BM7" s="39">
        <f t="shared" si="31"/>
        <v>0.14619262384108758</v>
      </c>
      <c r="BN7" s="34">
        <f t="shared" si="32"/>
        <v>0.13185388275260751</v>
      </c>
      <c r="BO7" s="34">
        <f t="shared" si="33"/>
        <v>0.11279665593613575</v>
      </c>
      <c r="BP7" s="28"/>
      <c r="BQ7" s="31">
        <f>Q7/GD7*2</f>
        <v>-9.5530070319627212E-5</v>
      </c>
      <c r="BR7" s="33">
        <f t="shared" si="34"/>
        <v>-3.1790413083861583E-3</v>
      </c>
      <c r="BS7" s="32">
        <f>FC7/E7</f>
        <v>5.0241810546067097E-3</v>
      </c>
      <c r="BT7" s="33">
        <f t="shared" si="35"/>
        <v>2.0941307254345246E-2</v>
      </c>
      <c r="BU7" s="33">
        <f t="shared" si="36"/>
        <v>0.80384318522321874</v>
      </c>
      <c r="BV7" s="34">
        <f t="shared" si="37"/>
        <v>0.87394631455510319</v>
      </c>
      <c r="BW7" s="28"/>
      <c r="BX7" s="27">
        <v>77.391000000000005</v>
      </c>
      <c r="BY7" s="28">
        <v>293.13200000000001</v>
      </c>
      <c r="BZ7" s="29">
        <f t="shared" si="38"/>
        <v>370.52300000000002</v>
      </c>
      <c r="CA7" s="25">
        <v>3606.9560000000001</v>
      </c>
      <c r="CB7" s="28">
        <v>1.8759999999999999</v>
      </c>
      <c r="CC7" s="28">
        <v>12.964</v>
      </c>
      <c r="CD7" s="29">
        <f t="shared" si="39"/>
        <v>3592.116</v>
      </c>
      <c r="CE7" s="28">
        <v>316.27999999999997</v>
      </c>
      <c r="CF7" s="28">
        <v>369.94</v>
      </c>
      <c r="CG7" s="29">
        <f t="shared" si="40"/>
        <v>686.22</v>
      </c>
      <c r="CH7" s="28">
        <v>29.425000000000001</v>
      </c>
      <c r="CI7" s="28">
        <v>0</v>
      </c>
      <c r="CJ7" s="28">
        <v>23.48</v>
      </c>
      <c r="CK7" s="28">
        <v>16.618999999999662</v>
      </c>
      <c r="CL7" s="29">
        <f t="shared" si="41"/>
        <v>4718.3829999999998</v>
      </c>
      <c r="CM7" s="28">
        <v>0</v>
      </c>
      <c r="CN7" s="25">
        <v>3362.2260000000001</v>
      </c>
      <c r="CO7" s="29">
        <f t="shared" si="42"/>
        <v>3362.2260000000001</v>
      </c>
      <c r="CP7" s="28">
        <v>427.81799999999998</v>
      </c>
      <c r="CQ7" s="28">
        <v>77.807999999999765</v>
      </c>
      <c r="CR7" s="29">
        <f t="shared" si="43"/>
        <v>505.62599999999975</v>
      </c>
      <c r="CS7" s="28">
        <v>0</v>
      </c>
      <c r="CT7" s="28">
        <v>850.53099999999995</v>
      </c>
      <c r="CU7" s="42">
        <f t="shared" si="44"/>
        <v>4718.3829999999998</v>
      </c>
      <c r="CV7" s="28"/>
      <c r="CW7" s="43">
        <v>708.60500000000002</v>
      </c>
      <c r="CX7" s="28"/>
      <c r="CY7" s="24">
        <v>50</v>
      </c>
      <c r="CZ7" s="25">
        <v>100</v>
      </c>
      <c r="DA7" s="25">
        <v>125</v>
      </c>
      <c r="DB7" s="25">
        <v>150</v>
      </c>
      <c r="DC7" s="25">
        <v>0</v>
      </c>
      <c r="DD7" s="25">
        <v>0</v>
      </c>
      <c r="DE7" s="26">
        <f t="shared" si="45"/>
        <v>425</v>
      </c>
      <c r="DF7" s="34">
        <f t="shared" si="46"/>
        <v>9.0073230596159751E-2</v>
      </c>
      <c r="DG7" s="25"/>
      <c r="DH7" s="44" t="s">
        <v>229</v>
      </c>
      <c r="DI7" s="45">
        <v>25.6</v>
      </c>
      <c r="DJ7" s="46">
        <v>2</v>
      </c>
      <c r="DK7" s="45" t="s">
        <v>168</v>
      </c>
      <c r="DL7" s="44"/>
      <c r="DM7" s="45"/>
      <c r="DN7" s="39" t="s">
        <v>224</v>
      </c>
      <c r="DO7" s="36"/>
      <c r="DP7" s="34"/>
      <c r="DQ7" s="25"/>
      <c r="DR7" s="24">
        <v>790.86300000000006</v>
      </c>
      <c r="DS7" s="25">
        <v>790.86300000000006</v>
      </c>
      <c r="DT7" s="26">
        <v>790.86300000000006</v>
      </c>
      <c r="DU7" s="25"/>
      <c r="DV7" s="44">
        <f t="shared" si="47"/>
        <v>2130.4300000000003</v>
      </c>
      <c r="DW7" s="25">
        <v>2133.2820000000002</v>
      </c>
      <c r="DX7" s="26">
        <v>2127.578</v>
      </c>
      <c r="DY7" s="25"/>
      <c r="DZ7" s="24">
        <v>788.70600000000002</v>
      </c>
      <c r="EA7" s="25">
        <v>800.40300000000002</v>
      </c>
      <c r="EB7" s="25">
        <v>816.16099999999994</v>
      </c>
      <c r="EC7" s="26">
        <v>2651.6239999999998</v>
      </c>
      <c r="ED7" s="25"/>
      <c r="EE7" s="24">
        <v>118.06399999999999</v>
      </c>
      <c r="EF7" s="25">
        <v>19.145</v>
      </c>
      <c r="EG7" s="25">
        <v>98.975999999999999</v>
      </c>
      <c r="EH7" s="25">
        <v>30.111999999999998</v>
      </c>
      <c r="EI7" s="25">
        <v>283.27600000000001</v>
      </c>
      <c r="EJ7" s="25">
        <v>71.134</v>
      </c>
      <c r="EK7" s="25">
        <v>9.7030000000000012</v>
      </c>
      <c r="EL7" s="25">
        <v>0</v>
      </c>
      <c r="EM7" s="26">
        <v>2851.6849999999999</v>
      </c>
      <c r="EN7" s="26">
        <f t="shared" si="48"/>
        <v>3482.0950000000003</v>
      </c>
      <c r="EO7" s="45"/>
      <c r="EP7" s="36">
        <f t="shared" si="49"/>
        <v>3.3906024964855924E-2</v>
      </c>
      <c r="EQ7" s="33">
        <f t="shared" si="50"/>
        <v>5.4981268460510121E-3</v>
      </c>
      <c r="ER7" s="33">
        <f t="shared" si="51"/>
        <v>2.8424267574549227E-2</v>
      </c>
      <c r="ES7" s="33">
        <f t="shared" si="52"/>
        <v>8.647667567944009E-3</v>
      </c>
      <c r="ET7" s="33">
        <f t="shared" si="53"/>
        <v>8.135217448116723E-2</v>
      </c>
      <c r="EU7" s="33">
        <f t="shared" si="54"/>
        <v>2.0428506402036705E-2</v>
      </c>
      <c r="EV7" s="33">
        <f t="shared" si="55"/>
        <v>2.7865408611769641E-3</v>
      </c>
      <c r="EW7" s="33">
        <f t="shared" si="56"/>
        <v>0</v>
      </c>
      <c r="EX7" s="33">
        <f t="shared" si="57"/>
        <v>0.81895669130221882</v>
      </c>
      <c r="EY7" s="39">
        <f t="shared" si="58"/>
        <v>0.99999999999999989</v>
      </c>
      <c r="EZ7" s="45"/>
      <c r="FA7" s="27">
        <v>16.43</v>
      </c>
      <c r="FB7" s="28">
        <v>1.6920000000000002</v>
      </c>
      <c r="FC7" s="42">
        <f t="shared" si="59"/>
        <v>18.122</v>
      </c>
      <c r="FE7" s="27">
        <f>CB7</f>
        <v>1.8759999999999999</v>
      </c>
      <c r="FF7" s="28">
        <f>CC7</f>
        <v>12.964</v>
      </c>
      <c r="FG7" s="42">
        <f t="shared" si="60"/>
        <v>14.84</v>
      </c>
      <c r="FI7" s="53">
        <v>3241.623</v>
      </c>
      <c r="FJ7" s="54">
        <v>347.63</v>
      </c>
      <c r="FK7" s="55">
        <v>17.702999999999999</v>
      </c>
      <c r="FL7" s="56">
        <f t="shared" si="61"/>
        <v>3606.9560000000001</v>
      </c>
      <c r="FM7" s="57">
        <f t="shared" si="62"/>
        <v>0.8987143175575194</v>
      </c>
      <c r="FN7" s="58">
        <f t="shared" si="63"/>
        <v>9.6377665821263128E-2</v>
      </c>
      <c r="FO7" s="59">
        <f t="shared" si="64"/>
        <v>4.9080166212174476E-3</v>
      </c>
      <c r="FP7" s="61">
        <f t="shared" si="65"/>
        <v>1</v>
      </c>
      <c r="FR7" s="24">
        <f>FV7*E7</f>
        <v>2899.4270000000001</v>
      </c>
      <c r="FS7" s="25">
        <f>E7*FW7</f>
        <v>707.52899999999988</v>
      </c>
      <c r="FT7" s="26">
        <f t="shared" si="66"/>
        <v>3606.9560000000001</v>
      </c>
      <c r="FV7" s="36">
        <v>0.80384318522321874</v>
      </c>
      <c r="FW7" s="33">
        <v>0.19615681477678126</v>
      </c>
      <c r="FX7" s="34">
        <f t="shared" si="67"/>
        <v>1</v>
      </c>
      <c r="FY7" s="45"/>
      <c r="FZ7" s="44">
        <f t="shared" si="68"/>
        <v>817.101</v>
      </c>
      <c r="GA7" s="25">
        <v>783.67100000000005</v>
      </c>
      <c r="GB7" s="26">
        <v>850.53099999999995</v>
      </c>
      <c r="GD7" s="44">
        <f t="shared" si="69"/>
        <v>3475.3455000000004</v>
      </c>
      <c r="GE7" s="25">
        <v>3343.7350000000001</v>
      </c>
      <c r="GF7" s="26">
        <v>3606.9560000000001</v>
      </c>
      <c r="GH7" s="44">
        <f t="shared" si="70"/>
        <v>1814.4724999999999</v>
      </c>
      <c r="GI7" s="25">
        <v>1622.9829999999999</v>
      </c>
      <c r="GJ7" s="26">
        <f>F7</f>
        <v>2005.962</v>
      </c>
      <c r="GL7" s="44">
        <f t="shared" si="71"/>
        <v>5289.8179999999993</v>
      </c>
      <c r="GM7" s="45">
        <f t="shared" si="72"/>
        <v>4966.7179999999998</v>
      </c>
      <c r="GN7" s="46">
        <f t="shared" si="73"/>
        <v>5612.9179999999997</v>
      </c>
      <c r="GP7" s="44">
        <f t="shared" si="74"/>
        <v>3264.922</v>
      </c>
      <c r="GQ7" s="25">
        <v>3167.6179999999999</v>
      </c>
      <c r="GR7" s="26">
        <f>G7</f>
        <v>3362.2260000000001</v>
      </c>
      <c r="GS7" s="25"/>
      <c r="GT7" s="44">
        <f t="shared" si="75"/>
        <v>4538.8629999999994</v>
      </c>
      <c r="GU7" s="25">
        <v>4359.3429999999998</v>
      </c>
      <c r="GV7" s="26">
        <f>C7</f>
        <v>4718.3829999999998</v>
      </c>
      <c r="GW7" s="25"/>
      <c r="GX7" s="61">
        <f>DX7/C7</f>
        <v>0.45091252660074438</v>
      </c>
      <c r="GY7" s="62"/>
    </row>
    <row r="8" spans="1:207" x14ac:dyDescent="0.25">
      <c r="A8" s="1"/>
      <c r="B8" s="23" t="s">
        <v>176</v>
      </c>
      <c r="C8" s="24">
        <v>5907.0749999999998</v>
      </c>
      <c r="D8" s="25">
        <f t="shared" si="0"/>
        <v>5588.3495000000003</v>
      </c>
      <c r="E8" s="25">
        <v>4624.3519999999999</v>
      </c>
      <c r="F8" s="25">
        <v>2232.9740000000002</v>
      </c>
      <c r="G8" s="25">
        <v>3847.6529999999998</v>
      </c>
      <c r="H8" s="25">
        <f t="shared" si="1"/>
        <v>8140.049</v>
      </c>
      <c r="I8" s="26">
        <f t="shared" si="2"/>
        <v>6857.326</v>
      </c>
      <c r="J8" s="25"/>
      <c r="K8" s="27">
        <v>67.962999999999994</v>
      </c>
      <c r="L8" s="28">
        <v>10.992000000000001</v>
      </c>
      <c r="M8" s="28">
        <v>0</v>
      </c>
      <c r="N8" s="29">
        <f t="shared" si="3"/>
        <v>78.954999999999998</v>
      </c>
      <c r="O8" s="28">
        <v>40.078000000000003</v>
      </c>
      <c r="P8" s="29">
        <f t="shared" si="4"/>
        <v>38.876999999999995</v>
      </c>
      <c r="Q8" s="28">
        <v>0.86999999999999988</v>
      </c>
      <c r="R8" s="29">
        <f t="shared" si="5"/>
        <v>38.006999999999998</v>
      </c>
      <c r="S8" s="28">
        <v>7.867</v>
      </c>
      <c r="T8" s="28">
        <v>-1.1789999999999998</v>
      </c>
      <c r="U8" s="28">
        <v>0</v>
      </c>
      <c r="V8" s="29">
        <f t="shared" si="6"/>
        <v>44.694999999999993</v>
      </c>
      <c r="W8" s="28">
        <v>9.2379999999999995</v>
      </c>
      <c r="X8" s="30">
        <f t="shared" si="7"/>
        <v>35.456999999999994</v>
      </c>
      <c r="Y8" s="28"/>
      <c r="Z8" s="31">
        <f t="shared" si="8"/>
        <v>2.4323102912586263E-2</v>
      </c>
      <c r="AA8" s="32">
        <f t="shared" si="9"/>
        <v>3.933898550904878E-3</v>
      </c>
      <c r="AB8" s="33">
        <f t="shared" si="10"/>
        <v>0.46796585827212966</v>
      </c>
      <c r="AC8" s="33">
        <f t="shared" si="11"/>
        <v>0.46161111239086872</v>
      </c>
      <c r="AD8" s="33">
        <f t="shared" si="12"/>
        <v>0.50760559812551453</v>
      </c>
      <c r="AE8" s="32">
        <f t="shared" si="13"/>
        <v>1.4343412129108961E-2</v>
      </c>
      <c r="AF8" s="32">
        <f t="shared" si="14"/>
        <v>1.2689614348565706E-2</v>
      </c>
      <c r="AG8" s="32">
        <f>X8/DV8*2</f>
        <v>3.1551549235615504E-2</v>
      </c>
      <c r="AH8" s="32">
        <f>(P8+S8+T8)/DV8*2</f>
        <v>4.0546192315221836E-2</v>
      </c>
      <c r="AI8" s="32">
        <f>R8/DV8*2</f>
        <v>3.3820676644894909E-2</v>
      </c>
      <c r="AJ8" s="34">
        <f>X8/FZ8*2</f>
        <v>0.10634071948012802</v>
      </c>
      <c r="AK8" s="35"/>
      <c r="AL8" s="36">
        <f t="shared" si="15"/>
        <v>0.11293907387124336</v>
      </c>
      <c r="AM8" s="33">
        <f t="shared" si="16"/>
        <v>0.20983467496214708</v>
      </c>
      <c r="AN8" s="34">
        <f t="shared" si="17"/>
        <v>0.10463324620068633</v>
      </c>
      <c r="AO8" s="28"/>
      <c r="AP8" s="36">
        <f t="shared" si="18"/>
        <v>0.83204154874023428</v>
      </c>
      <c r="AQ8" s="33">
        <f t="shared" si="19"/>
        <v>0.743174079891465</v>
      </c>
      <c r="AR8" s="33">
        <f t="shared" si="20"/>
        <v>5.7444674394687756E-2</v>
      </c>
      <c r="AS8" s="33">
        <f t="shared" si="21"/>
        <v>0.40733493310987257</v>
      </c>
      <c r="AT8" s="33">
        <f t="shared" si="22"/>
        <v>0.16765336482099855</v>
      </c>
      <c r="AU8" s="37">
        <v>3.07</v>
      </c>
      <c r="AV8" s="38">
        <v>1.496</v>
      </c>
      <c r="AW8" s="28"/>
      <c r="AX8" s="36">
        <f>GB8/C8</f>
        <v>0.11541194245883114</v>
      </c>
      <c r="AY8" s="33">
        <v>0.1055</v>
      </c>
      <c r="AZ8" s="33">
        <f t="shared" si="23"/>
        <v>0.28389451961874518</v>
      </c>
      <c r="BA8" s="33">
        <f t="shared" si="24"/>
        <v>0.30181568263053998</v>
      </c>
      <c r="BB8" s="34">
        <f t="shared" si="25"/>
        <v>0.30181568263053998</v>
      </c>
      <c r="BC8" s="33"/>
      <c r="BD8" s="36">
        <f t="shared" si="26"/>
        <v>0.22788972192253962</v>
      </c>
      <c r="BE8" s="33">
        <f t="shared" si="27"/>
        <v>0.24669739382899356</v>
      </c>
      <c r="BF8" s="34">
        <f t="shared" si="28"/>
        <v>0.25272683173639893</v>
      </c>
      <c r="BG8" s="25"/>
      <c r="BH8" s="39">
        <v>2.1000000000000001E-2</v>
      </c>
      <c r="BI8" s="36">
        <f t="shared" si="29"/>
        <v>1.18125E-2</v>
      </c>
      <c r="BJ8" s="34">
        <f t="shared" si="30"/>
        <v>1.575E-2</v>
      </c>
      <c r="BK8" s="65">
        <v>1.2500000000000001E-2</v>
      </c>
      <c r="BL8" s="33"/>
      <c r="BM8" s="39">
        <f t="shared" si="31"/>
        <v>7.6077221922539601E-2</v>
      </c>
      <c r="BN8" s="34">
        <f t="shared" si="32"/>
        <v>7.5947393828993542E-2</v>
      </c>
      <c r="BO8" s="34">
        <f t="shared" si="33"/>
        <v>5.6726831736398919E-2</v>
      </c>
      <c r="BP8" s="28"/>
      <c r="BQ8" s="31">
        <f>Q8/GD8*2</f>
        <v>3.9638095079716414E-4</v>
      </c>
      <c r="BR8" s="33">
        <f t="shared" si="34"/>
        <v>1.9093602545813673E-2</v>
      </c>
      <c r="BS8" s="32">
        <f>FC8/E8</f>
        <v>1.5680467230868238E-2</v>
      </c>
      <c r="BT8" s="33">
        <f t="shared" si="35"/>
        <v>0.10488297720004455</v>
      </c>
      <c r="BU8" s="33">
        <f t="shared" si="36"/>
        <v>0.86421167765775619</v>
      </c>
      <c r="BV8" s="34">
        <f t="shared" si="37"/>
        <v>0.90842888321191084</v>
      </c>
      <c r="BW8" s="28"/>
      <c r="BX8" s="27">
        <v>74.046999999999997</v>
      </c>
      <c r="BY8" s="28">
        <v>232.00899999999999</v>
      </c>
      <c r="BZ8" s="29">
        <f t="shared" si="38"/>
        <v>306.05599999999998</v>
      </c>
      <c r="CA8" s="25">
        <v>4624.3519999999999</v>
      </c>
      <c r="CB8" s="28">
        <v>3.9340000000000002</v>
      </c>
      <c r="CC8" s="28">
        <v>5.68</v>
      </c>
      <c r="CD8" s="29">
        <f t="shared" si="39"/>
        <v>4614.7379999999994</v>
      </c>
      <c r="CE8" s="28">
        <v>684.28499999999997</v>
      </c>
      <c r="CF8" s="28">
        <v>286.37</v>
      </c>
      <c r="CG8" s="29">
        <f t="shared" si="40"/>
        <v>970.65499999999997</v>
      </c>
      <c r="CH8" s="28">
        <v>0</v>
      </c>
      <c r="CI8" s="28">
        <v>0</v>
      </c>
      <c r="CJ8" s="28">
        <v>11.884</v>
      </c>
      <c r="CK8" s="28">
        <v>3.7420000000008855</v>
      </c>
      <c r="CL8" s="29">
        <f t="shared" si="41"/>
        <v>5907.0749999999998</v>
      </c>
      <c r="CM8" s="28">
        <v>151.92500000000001</v>
      </c>
      <c r="CN8" s="25">
        <v>3847.6529999999998</v>
      </c>
      <c r="CO8" s="29">
        <f t="shared" si="42"/>
        <v>3999.578</v>
      </c>
      <c r="CP8" s="28">
        <v>1137.7460000000001</v>
      </c>
      <c r="CQ8" s="28">
        <v>48.003999999999792</v>
      </c>
      <c r="CR8" s="29">
        <f t="shared" si="43"/>
        <v>1185.75</v>
      </c>
      <c r="CS8" s="28">
        <v>40</v>
      </c>
      <c r="CT8" s="28">
        <v>681.74699999999996</v>
      </c>
      <c r="CU8" s="42">
        <f t="shared" si="44"/>
        <v>5907.0749999999998</v>
      </c>
      <c r="CV8" s="28"/>
      <c r="CW8" s="43">
        <v>990.34099999999989</v>
      </c>
      <c r="CX8" s="28"/>
      <c r="CY8" s="24">
        <v>200</v>
      </c>
      <c r="CZ8" s="25">
        <v>380</v>
      </c>
      <c r="DA8" s="25">
        <v>290</v>
      </c>
      <c r="DB8" s="25">
        <v>200</v>
      </c>
      <c r="DC8" s="25">
        <v>250</v>
      </c>
      <c r="DD8" s="25">
        <v>0</v>
      </c>
      <c r="DE8" s="26">
        <f t="shared" si="45"/>
        <v>1320</v>
      </c>
      <c r="DF8" s="34">
        <f t="shared" si="46"/>
        <v>0.22346084991302803</v>
      </c>
      <c r="DG8" s="25"/>
      <c r="DH8" s="44" t="s">
        <v>229</v>
      </c>
      <c r="DI8" s="45">
        <v>32.299999999999997</v>
      </c>
      <c r="DJ8" s="46">
        <v>1</v>
      </c>
      <c r="DK8" s="45" t="s">
        <v>168</v>
      </c>
      <c r="DL8" s="47" t="s">
        <v>169</v>
      </c>
      <c r="DM8" s="48" t="s">
        <v>177</v>
      </c>
      <c r="DN8" s="39" t="s">
        <v>224</v>
      </c>
      <c r="DO8" s="66" t="s">
        <v>178</v>
      </c>
      <c r="DP8" s="67" t="s">
        <v>179</v>
      </c>
      <c r="DQ8" s="25"/>
      <c r="DR8" s="24">
        <v>633.65200000000004</v>
      </c>
      <c r="DS8" s="25">
        <v>673.65200000000004</v>
      </c>
      <c r="DT8" s="26">
        <v>673.65200000000004</v>
      </c>
      <c r="DU8" s="25"/>
      <c r="DV8" s="44">
        <f t="shared" si="47"/>
        <v>2247.56</v>
      </c>
      <c r="DW8" s="25">
        <v>2263.1219999999998</v>
      </c>
      <c r="DX8" s="26">
        <v>2231.998</v>
      </c>
      <c r="DY8" s="25"/>
      <c r="DZ8" s="24">
        <v>633.27499999999998</v>
      </c>
      <c r="EA8" s="25">
        <v>685.53899999999999</v>
      </c>
      <c r="EB8" s="25">
        <v>702.29399999999998</v>
      </c>
      <c r="EC8" s="26">
        <v>2778.866</v>
      </c>
      <c r="ED8" s="25"/>
      <c r="EE8" s="24">
        <v>0</v>
      </c>
      <c r="EF8" s="25">
        <v>0</v>
      </c>
      <c r="EG8" s="25">
        <v>101.023</v>
      </c>
      <c r="EH8" s="25">
        <v>9.0380000000000003</v>
      </c>
      <c r="EI8" s="25">
        <v>272.51</v>
      </c>
      <c r="EJ8" s="25">
        <v>35.883000000000003</v>
      </c>
      <c r="EK8" s="25">
        <v>2.7969999999999997</v>
      </c>
      <c r="EL8" s="25">
        <v>0</v>
      </c>
      <c r="EM8" s="26">
        <v>3762.1590000000001</v>
      </c>
      <c r="EN8" s="26">
        <f t="shared" si="48"/>
        <v>4183.41</v>
      </c>
      <c r="EO8" s="45"/>
      <c r="EP8" s="36">
        <f t="shared" si="49"/>
        <v>0</v>
      </c>
      <c r="EQ8" s="33">
        <f t="shared" si="50"/>
        <v>0</v>
      </c>
      <c r="ER8" s="33">
        <f t="shared" si="51"/>
        <v>2.4148481740972078E-2</v>
      </c>
      <c r="ES8" s="33">
        <f t="shared" si="52"/>
        <v>2.1604384939558877E-3</v>
      </c>
      <c r="ET8" s="33">
        <f t="shared" si="53"/>
        <v>6.514063885681777E-2</v>
      </c>
      <c r="EU8" s="33">
        <f t="shared" si="54"/>
        <v>8.5774523654148175E-3</v>
      </c>
      <c r="EV8" s="33">
        <f t="shared" si="55"/>
        <v>6.6859332458448959E-4</v>
      </c>
      <c r="EW8" s="33">
        <f t="shared" si="56"/>
        <v>0</v>
      </c>
      <c r="EX8" s="33">
        <f t="shared" si="57"/>
        <v>0.899304395218255</v>
      </c>
      <c r="EY8" s="39">
        <f t="shared" si="58"/>
        <v>1</v>
      </c>
      <c r="EZ8" s="45"/>
      <c r="FA8" s="27">
        <v>53.143999999999998</v>
      </c>
      <c r="FB8" s="28">
        <v>19.368000000000002</v>
      </c>
      <c r="FC8" s="42">
        <f t="shared" si="59"/>
        <v>72.512</v>
      </c>
      <c r="FE8" s="27">
        <f>CB8</f>
        <v>3.9340000000000002</v>
      </c>
      <c r="FF8" s="28">
        <f>CC8</f>
        <v>5.68</v>
      </c>
      <c r="FG8" s="42">
        <f t="shared" si="60"/>
        <v>9.6140000000000008</v>
      </c>
      <c r="FI8" s="53">
        <v>4091.8119999999999</v>
      </c>
      <c r="FJ8" s="54">
        <v>460.00299999999999</v>
      </c>
      <c r="FK8" s="55">
        <v>72.537000000000006</v>
      </c>
      <c r="FL8" s="56">
        <f t="shared" si="61"/>
        <v>4624.3519999999999</v>
      </c>
      <c r="FM8" s="57">
        <f t="shared" si="62"/>
        <v>0.88484008137788817</v>
      </c>
      <c r="FN8" s="58">
        <f t="shared" si="63"/>
        <v>9.9474045228390914E-2</v>
      </c>
      <c r="FO8" s="59">
        <f t="shared" si="64"/>
        <v>1.5685873393720896E-2</v>
      </c>
      <c r="FP8" s="61">
        <f t="shared" si="65"/>
        <v>0.99999999999999989</v>
      </c>
      <c r="FR8" s="24">
        <f>FV8*E8</f>
        <v>3996.4189999999999</v>
      </c>
      <c r="FS8" s="25">
        <f>E8*FW8</f>
        <v>627.93299999999977</v>
      </c>
      <c r="FT8" s="26">
        <f t="shared" si="66"/>
        <v>4624.3519999999999</v>
      </c>
      <c r="FV8" s="36">
        <v>0.86421167765775619</v>
      </c>
      <c r="FW8" s="33">
        <v>0.13578832234224381</v>
      </c>
      <c r="FX8" s="34">
        <f t="shared" si="67"/>
        <v>1</v>
      </c>
      <c r="FY8" s="45"/>
      <c r="FZ8" s="44">
        <f t="shared" si="68"/>
        <v>666.85649999999998</v>
      </c>
      <c r="GA8" s="25">
        <v>651.96600000000001</v>
      </c>
      <c r="GB8" s="26">
        <v>681.74699999999996</v>
      </c>
      <c r="GD8" s="44">
        <f t="shared" si="69"/>
        <v>4389.7165000000005</v>
      </c>
      <c r="GE8" s="25">
        <v>4155.0810000000001</v>
      </c>
      <c r="GF8" s="26">
        <v>4624.3519999999999</v>
      </c>
      <c r="GH8" s="44">
        <f t="shared" si="70"/>
        <v>1872.9395</v>
      </c>
      <c r="GI8" s="25">
        <v>1512.905</v>
      </c>
      <c r="GJ8" s="26">
        <f>F8</f>
        <v>2232.9740000000002</v>
      </c>
      <c r="GL8" s="44">
        <f t="shared" si="71"/>
        <v>6262.6559999999999</v>
      </c>
      <c r="GM8" s="45">
        <f t="shared" si="72"/>
        <v>5667.9859999999999</v>
      </c>
      <c r="GN8" s="46">
        <f t="shared" si="73"/>
        <v>6857.326</v>
      </c>
      <c r="GP8" s="44">
        <f t="shared" si="74"/>
        <v>3665.424</v>
      </c>
      <c r="GQ8" s="25">
        <v>3483.1950000000002</v>
      </c>
      <c r="GR8" s="26">
        <f>G8</f>
        <v>3847.6529999999998</v>
      </c>
      <c r="GS8" s="25"/>
      <c r="GT8" s="44">
        <f t="shared" si="75"/>
        <v>5588.3495000000003</v>
      </c>
      <c r="GU8" s="25">
        <v>5269.6239999999998</v>
      </c>
      <c r="GV8" s="26">
        <f>C8</f>
        <v>5907.0749999999998</v>
      </c>
      <c r="GW8" s="25"/>
      <c r="GX8" s="61">
        <f>DX8/C8</f>
        <v>0.37785164400316573</v>
      </c>
      <c r="GY8" s="62"/>
    </row>
    <row r="9" spans="1:207" x14ac:dyDescent="0.25">
      <c r="A9" s="1"/>
      <c r="B9" s="23" t="s">
        <v>180</v>
      </c>
      <c r="C9" s="24">
        <v>2359.0059999999999</v>
      </c>
      <c r="D9" s="25">
        <f t="shared" si="0"/>
        <v>2273.6585</v>
      </c>
      <c r="E9" s="25">
        <v>1866.9670000000001</v>
      </c>
      <c r="F9" s="25">
        <v>966.67600000000004</v>
      </c>
      <c r="G9" s="25">
        <v>1809.5519999999999</v>
      </c>
      <c r="H9" s="25">
        <f t="shared" si="1"/>
        <v>3325.6819999999998</v>
      </c>
      <c r="I9" s="26">
        <f t="shared" si="2"/>
        <v>2833.643</v>
      </c>
      <c r="J9" s="25"/>
      <c r="K9" s="27">
        <v>26.532</v>
      </c>
      <c r="L9" s="28">
        <v>7.02</v>
      </c>
      <c r="M9" s="28">
        <v>0</v>
      </c>
      <c r="N9" s="29">
        <f t="shared" si="3"/>
        <v>33.552</v>
      </c>
      <c r="O9" s="28">
        <v>19.201999999999998</v>
      </c>
      <c r="P9" s="29">
        <f t="shared" si="4"/>
        <v>14.350000000000001</v>
      </c>
      <c r="Q9" s="28">
        <v>-2.9999999999999971E-2</v>
      </c>
      <c r="R9" s="29">
        <f t="shared" si="5"/>
        <v>14.38</v>
      </c>
      <c r="S9" s="28">
        <v>5.4009999999999998</v>
      </c>
      <c r="T9" s="28">
        <v>-6.3E-2</v>
      </c>
      <c r="U9" s="28">
        <v>-0.2</v>
      </c>
      <c r="V9" s="29">
        <f t="shared" si="6"/>
        <v>19.518000000000001</v>
      </c>
      <c r="W9" s="28">
        <v>3.6419999999999999</v>
      </c>
      <c r="X9" s="30">
        <f t="shared" si="7"/>
        <v>15.876000000000001</v>
      </c>
      <c r="Y9" s="28"/>
      <c r="Z9" s="31">
        <f t="shared" si="8"/>
        <v>2.3338597243165584E-2</v>
      </c>
      <c r="AA9" s="32">
        <f t="shared" si="9"/>
        <v>6.1750698268891301E-3</v>
      </c>
      <c r="AB9" s="33">
        <f t="shared" si="10"/>
        <v>0.49375160709694005</v>
      </c>
      <c r="AC9" s="33">
        <f t="shared" si="11"/>
        <v>0.49295304597848683</v>
      </c>
      <c r="AD9" s="33">
        <f t="shared" si="12"/>
        <v>0.57230567477348593</v>
      </c>
      <c r="AE9" s="32">
        <f t="shared" si="13"/>
        <v>1.6890839147567675E-2</v>
      </c>
      <c r="AF9" s="32">
        <f t="shared" si="14"/>
        <v>1.3965157916195419E-2</v>
      </c>
      <c r="AG9" s="32">
        <f>X9/DV9*2</f>
        <v>3.1583611972767191E-2</v>
      </c>
      <c r="AH9" s="32">
        <f>(P9+S9+T9)/DV9*2</f>
        <v>3.9167180178876326E-2</v>
      </c>
      <c r="AI9" s="32">
        <f>R9/DV9*2</f>
        <v>2.8607479224514502E-2</v>
      </c>
      <c r="AJ9" s="34">
        <f>X9/FZ9*2</f>
        <v>9.2091104994648912E-2</v>
      </c>
      <c r="AK9" s="35"/>
      <c r="AL9" s="36">
        <f t="shared" si="15"/>
        <v>8.7558449290161863E-2</v>
      </c>
      <c r="AM9" s="33">
        <f t="shared" si="16"/>
        <v>7.1297113333620682E-2</v>
      </c>
      <c r="AN9" s="34">
        <f t="shared" si="17"/>
        <v>8.3324702505853498E-2</v>
      </c>
      <c r="AO9" s="28"/>
      <c r="AP9" s="36">
        <f t="shared" si="18"/>
        <v>0.96924691223787018</v>
      </c>
      <c r="AQ9" s="33">
        <f t="shared" si="19"/>
        <v>0.91124813991373721</v>
      </c>
      <c r="AR9" s="33">
        <f t="shared" si="20"/>
        <v>-6.7315640570647123E-2</v>
      </c>
      <c r="AS9" s="33">
        <f t="shared" si="21"/>
        <v>0.27960123882686183</v>
      </c>
      <c r="AT9" s="33">
        <f t="shared" si="22"/>
        <v>0.14202634499445954</v>
      </c>
      <c r="AU9" s="37">
        <v>5.21</v>
      </c>
      <c r="AV9" s="38">
        <v>1.44</v>
      </c>
      <c r="AW9" s="28"/>
      <c r="AX9" s="36">
        <f>GB9/C9</f>
        <v>0.15220902363113958</v>
      </c>
      <c r="AY9" s="33">
        <v>0.1333</v>
      </c>
      <c r="AZ9" s="33">
        <f t="shared" si="23"/>
        <v>0.32476663259843291</v>
      </c>
      <c r="BA9" s="33">
        <f t="shared" si="24"/>
        <v>0.32476663259843291</v>
      </c>
      <c r="BB9" s="34">
        <f t="shared" si="25"/>
        <v>0.32476663259843291</v>
      </c>
      <c r="BC9" s="33"/>
      <c r="BD9" s="36">
        <f t="shared" si="26"/>
        <v>0.25763554958307916</v>
      </c>
      <c r="BE9" s="33">
        <f t="shared" si="27"/>
        <v>0.26212522796729038</v>
      </c>
      <c r="BF9" s="34">
        <f t="shared" si="28"/>
        <v>0.26817313438381485</v>
      </c>
      <c r="BG9" s="25"/>
      <c r="BH9" s="39">
        <v>1.9E-2</v>
      </c>
      <c r="BI9" s="36">
        <f t="shared" si="29"/>
        <v>1.0687499999999999E-2</v>
      </c>
      <c r="BJ9" s="34">
        <f t="shared" si="30"/>
        <v>1.4249999999999999E-2</v>
      </c>
      <c r="BK9" s="39">
        <v>1.4999999999999999E-2</v>
      </c>
      <c r="BL9" s="33"/>
      <c r="BM9" s="39">
        <f t="shared" si="31"/>
        <v>0.10694804958307916</v>
      </c>
      <c r="BN9" s="34">
        <f t="shared" si="32"/>
        <v>9.2875227967290364E-2</v>
      </c>
      <c r="BO9" s="34">
        <f t="shared" si="33"/>
        <v>7.4173134383814843E-2</v>
      </c>
      <c r="BP9" s="28"/>
      <c r="BQ9" s="31">
        <f>Q9/GD9*2</f>
        <v>-3.3485637173075507E-5</v>
      </c>
      <c r="BR9" s="33">
        <f t="shared" si="34"/>
        <v>-1.5237708248679383E-3</v>
      </c>
      <c r="BS9" s="32">
        <f>FC9/E9</f>
        <v>2.0594900713295948E-3</v>
      </c>
      <c r="BT9" s="33">
        <f t="shared" si="35"/>
        <v>1.0586453744493391E-2</v>
      </c>
      <c r="BU9" s="33">
        <f t="shared" si="36"/>
        <v>0.87505617399771929</v>
      </c>
      <c r="BV9" s="34">
        <f t="shared" si="37"/>
        <v>0.91767982064077935</v>
      </c>
      <c r="BW9" s="28"/>
      <c r="BX9" s="27">
        <v>48.133000000000003</v>
      </c>
      <c r="BY9" s="28">
        <v>110.797</v>
      </c>
      <c r="BZ9" s="29">
        <f t="shared" si="38"/>
        <v>158.93</v>
      </c>
      <c r="CA9" s="25">
        <v>1866.9670000000001</v>
      </c>
      <c r="CB9" s="28">
        <v>0.47299999999999998</v>
      </c>
      <c r="CC9" s="28">
        <v>3.665</v>
      </c>
      <c r="CD9" s="29">
        <f t="shared" si="39"/>
        <v>1862.8290000000002</v>
      </c>
      <c r="CE9" s="28">
        <v>176.11099999999999</v>
      </c>
      <c r="CF9" s="28">
        <v>149.494</v>
      </c>
      <c r="CG9" s="29">
        <f t="shared" si="40"/>
        <v>325.60500000000002</v>
      </c>
      <c r="CH9" s="28">
        <v>0</v>
      </c>
      <c r="CI9" s="28">
        <v>0</v>
      </c>
      <c r="CJ9" s="28">
        <v>6.726</v>
      </c>
      <c r="CK9" s="28">
        <v>4.9159999999998254</v>
      </c>
      <c r="CL9" s="29">
        <f t="shared" si="41"/>
        <v>2359.0060000000003</v>
      </c>
      <c r="CM9" s="28">
        <v>125.727</v>
      </c>
      <c r="CN9" s="25">
        <v>1809.5519999999999</v>
      </c>
      <c r="CO9" s="29">
        <f t="shared" si="42"/>
        <v>1935.279</v>
      </c>
      <c r="CP9" s="28">
        <v>50.515999999999998</v>
      </c>
      <c r="CQ9" s="28">
        <v>14.14899999999983</v>
      </c>
      <c r="CR9" s="29">
        <f t="shared" si="43"/>
        <v>64.664999999999822</v>
      </c>
      <c r="CS9" s="28">
        <v>0</v>
      </c>
      <c r="CT9" s="28">
        <v>359.06200000000001</v>
      </c>
      <c r="CU9" s="42">
        <f t="shared" si="44"/>
        <v>2359.0059999999999</v>
      </c>
      <c r="CV9" s="28"/>
      <c r="CW9" s="43">
        <v>335.041</v>
      </c>
      <c r="CX9" s="28"/>
      <c r="CY9" s="24">
        <v>50</v>
      </c>
      <c r="CZ9" s="25">
        <v>75</v>
      </c>
      <c r="DA9" s="25">
        <v>50</v>
      </c>
      <c r="DB9" s="25">
        <v>0</v>
      </c>
      <c r="DC9" s="25">
        <v>0</v>
      </c>
      <c r="DD9" s="25">
        <v>0</v>
      </c>
      <c r="DE9" s="26">
        <f t="shared" si="45"/>
        <v>175</v>
      </c>
      <c r="DF9" s="34">
        <f t="shared" si="46"/>
        <v>7.4183787578327484E-2</v>
      </c>
      <c r="DG9" s="25"/>
      <c r="DH9" s="44" t="s">
        <v>229</v>
      </c>
      <c r="DI9" s="45">
        <v>18.5</v>
      </c>
      <c r="DJ9" s="46">
        <v>2</v>
      </c>
      <c r="DK9" s="45" t="s">
        <v>168</v>
      </c>
      <c r="DL9" s="44"/>
      <c r="DM9" s="45"/>
      <c r="DN9" s="39" t="s">
        <v>224</v>
      </c>
      <c r="DO9" s="36"/>
      <c r="DP9" s="34"/>
      <c r="DQ9" s="25"/>
      <c r="DR9" s="24">
        <v>333.649</v>
      </c>
      <c r="DS9" s="25">
        <v>333.649</v>
      </c>
      <c r="DT9" s="26">
        <v>333.649</v>
      </c>
      <c r="DU9" s="25"/>
      <c r="DV9" s="44">
        <f t="shared" si="47"/>
        <v>1005.3315</v>
      </c>
      <c r="DW9" s="25">
        <v>983.31299999999999</v>
      </c>
      <c r="DX9" s="26">
        <v>1027.3499999999999</v>
      </c>
      <c r="DY9" s="25"/>
      <c r="DZ9" s="24">
        <v>332.827</v>
      </c>
      <c r="EA9" s="25">
        <v>338.62700000000001</v>
      </c>
      <c r="EB9" s="25">
        <v>346.44</v>
      </c>
      <c r="EC9" s="26">
        <v>1291.8520000000001</v>
      </c>
      <c r="ED9" s="25"/>
      <c r="EE9" s="24">
        <v>10.255000000000001</v>
      </c>
      <c r="EF9" s="25">
        <v>30.344999999999999</v>
      </c>
      <c r="EG9" s="25">
        <v>43.188000000000002</v>
      </c>
      <c r="EH9" s="25">
        <v>13.234</v>
      </c>
      <c r="EI9" s="25">
        <v>73.063000000000002</v>
      </c>
      <c r="EJ9" s="25">
        <v>38.430999999999997</v>
      </c>
      <c r="EK9" s="25">
        <v>11.196999999999999</v>
      </c>
      <c r="EL9" s="25">
        <v>0</v>
      </c>
      <c r="EM9" s="26">
        <v>1552.279</v>
      </c>
      <c r="EN9" s="26">
        <f t="shared" si="48"/>
        <v>1771.992</v>
      </c>
      <c r="EO9" s="45"/>
      <c r="EP9" s="36">
        <f t="shared" si="49"/>
        <v>5.7872721773010267E-3</v>
      </c>
      <c r="EQ9" s="33">
        <f t="shared" si="50"/>
        <v>1.7124795145802011E-2</v>
      </c>
      <c r="ER9" s="33">
        <f t="shared" si="51"/>
        <v>2.4372570530792465E-2</v>
      </c>
      <c r="ES9" s="33">
        <f t="shared" si="52"/>
        <v>7.4684310087178721E-3</v>
      </c>
      <c r="ET9" s="33">
        <f t="shared" si="53"/>
        <v>4.1232127458814716E-2</v>
      </c>
      <c r="EU9" s="33">
        <f t="shared" si="54"/>
        <v>2.1688021164881104E-2</v>
      </c>
      <c r="EV9" s="33">
        <f t="shared" si="55"/>
        <v>6.3188772861277019E-3</v>
      </c>
      <c r="EW9" s="33">
        <f t="shared" si="56"/>
        <v>0</v>
      </c>
      <c r="EX9" s="33">
        <f t="shared" si="57"/>
        <v>0.87600790522756311</v>
      </c>
      <c r="EY9" s="39">
        <f t="shared" si="58"/>
        <v>1</v>
      </c>
      <c r="EZ9" s="45"/>
      <c r="FA9" s="27">
        <v>0.627</v>
      </c>
      <c r="FB9" s="28">
        <v>3.218</v>
      </c>
      <c r="FC9" s="42">
        <f t="shared" si="59"/>
        <v>3.8449999999999998</v>
      </c>
      <c r="FE9" s="27">
        <f>CB9</f>
        <v>0.47299999999999998</v>
      </c>
      <c r="FF9" s="28">
        <f>CC9</f>
        <v>3.665</v>
      </c>
      <c r="FG9" s="42">
        <f t="shared" si="60"/>
        <v>4.1379999999999999</v>
      </c>
      <c r="FI9" s="53">
        <v>1770.2</v>
      </c>
      <c r="FJ9" s="54">
        <v>92.917000000000002</v>
      </c>
      <c r="FK9" s="55">
        <v>3.85</v>
      </c>
      <c r="FL9" s="56">
        <f t="shared" si="61"/>
        <v>1866.9669999999999</v>
      </c>
      <c r="FM9" s="57">
        <f t="shared" si="62"/>
        <v>0.94816887497208047</v>
      </c>
      <c r="FN9" s="58">
        <f t="shared" si="63"/>
        <v>4.9768956816055136E-2</v>
      </c>
      <c r="FO9" s="59">
        <f t="shared" si="64"/>
        <v>2.0621682118644839E-3</v>
      </c>
      <c r="FP9" s="61">
        <f t="shared" si="65"/>
        <v>1</v>
      </c>
      <c r="FR9" s="24">
        <f>FV9*E9</f>
        <v>1633.701</v>
      </c>
      <c r="FS9" s="25">
        <f>E9*FW9</f>
        <v>233.26600000000002</v>
      </c>
      <c r="FT9" s="26">
        <f t="shared" si="66"/>
        <v>1866.9670000000001</v>
      </c>
      <c r="FV9" s="36">
        <v>0.87505617399771929</v>
      </c>
      <c r="FW9" s="33">
        <v>0.12494382600228071</v>
      </c>
      <c r="FX9" s="34">
        <f t="shared" si="67"/>
        <v>1</v>
      </c>
      <c r="FY9" s="45"/>
      <c r="FZ9" s="44">
        <f t="shared" si="68"/>
        <v>344.78899999999999</v>
      </c>
      <c r="GA9" s="25">
        <v>330.51600000000002</v>
      </c>
      <c r="GB9" s="26">
        <v>359.06200000000001</v>
      </c>
      <c r="GD9" s="44">
        <f t="shared" si="69"/>
        <v>1791.8130000000001</v>
      </c>
      <c r="GE9" s="25">
        <v>1716.6590000000001</v>
      </c>
      <c r="GF9" s="26">
        <v>1866.9670000000001</v>
      </c>
      <c r="GH9" s="44">
        <f t="shared" si="70"/>
        <v>947.53750000000002</v>
      </c>
      <c r="GI9" s="25">
        <v>928.399</v>
      </c>
      <c r="GJ9" s="26">
        <f>F9</f>
        <v>966.67600000000004</v>
      </c>
      <c r="GL9" s="44">
        <f t="shared" si="71"/>
        <v>2739.3505</v>
      </c>
      <c r="GM9" s="45">
        <f t="shared" si="72"/>
        <v>2645.058</v>
      </c>
      <c r="GN9" s="46">
        <f t="shared" si="73"/>
        <v>2833.643</v>
      </c>
      <c r="GP9" s="44">
        <f t="shared" si="74"/>
        <v>1739.9604999999999</v>
      </c>
      <c r="GQ9" s="25">
        <v>1670.3689999999999</v>
      </c>
      <c r="GR9" s="26">
        <f>G9</f>
        <v>1809.5519999999999</v>
      </c>
      <c r="GS9" s="25"/>
      <c r="GT9" s="44">
        <f t="shared" si="75"/>
        <v>2273.6585</v>
      </c>
      <c r="GU9" s="25">
        <v>2188.3110000000001</v>
      </c>
      <c r="GV9" s="26">
        <f>C9</f>
        <v>2359.0059999999999</v>
      </c>
      <c r="GW9" s="25"/>
      <c r="GX9" s="61">
        <f>DX9/C9</f>
        <v>0.43550122382054135</v>
      </c>
      <c r="GY9" s="62"/>
    </row>
    <row r="10" spans="1:207" x14ac:dyDescent="0.25">
      <c r="A10" s="1"/>
      <c r="B10" s="23" t="s">
        <v>181</v>
      </c>
      <c r="C10" s="24">
        <v>4540.5079999999998</v>
      </c>
      <c r="D10" s="25">
        <f t="shared" si="0"/>
        <v>4189.8629999999994</v>
      </c>
      <c r="E10" s="25">
        <v>3689.5439999999999</v>
      </c>
      <c r="F10" s="25">
        <v>534.81500000000005</v>
      </c>
      <c r="G10" s="25">
        <v>2986.21</v>
      </c>
      <c r="H10" s="25">
        <f t="shared" si="1"/>
        <v>5075.3230000000003</v>
      </c>
      <c r="I10" s="26">
        <f t="shared" si="2"/>
        <v>4224.3590000000004</v>
      </c>
      <c r="J10" s="25"/>
      <c r="K10" s="27">
        <v>45.747</v>
      </c>
      <c r="L10" s="28">
        <v>9.3060000000000009</v>
      </c>
      <c r="M10" s="28">
        <v>4.3000000000000003E-2</v>
      </c>
      <c r="N10" s="29">
        <f t="shared" si="3"/>
        <v>55.095999999999997</v>
      </c>
      <c r="O10" s="28">
        <v>28.826999999999998</v>
      </c>
      <c r="P10" s="29">
        <f t="shared" si="4"/>
        <v>26.268999999999998</v>
      </c>
      <c r="Q10" s="28">
        <v>1.843</v>
      </c>
      <c r="R10" s="29">
        <f t="shared" si="5"/>
        <v>24.425999999999998</v>
      </c>
      <c r="S10" s="28">
        <v>5.0259999999999998</v>
      </c>
      <c r="T10" s="28">
        <v>2.706</v>
      </c>
      <c r="U10" s="28">
        <v>0</v>
      </c>
      <c r="V10" s="29">
        <f t="shared" si="6"/>
        <v>32.158000000000001</v>
      </c>
      <c r="W10" s="28">
        <v>6.8000000000000007</v>
      </c>
      <c r="X10" s="30">
        <f t="shared" si="7"/>
        <v>25.358000000000001</v>
      </c>
      <c r="Y10" s="28"/>
      <c r="Z10" s="31">
        <f t="shared" si="8"/>
        <v>2.1836990851490851E-2</v>
      </c>
      <c r="AA10" s="32">
        <f t="shared" si="9"/>
        <v>4.4421500177929457E-3</v>
      </c>
      <c r="AB10" s="33">
        <f t="shared" si="10"/>
        <v>0.4588240911695422</v>
      </c>
      <c r="AC10" s="33">
        <f t="shared" si="11"/>
        <v>0.47947506736302847</v>
      </c>
      <c r="AD10" s="33">
        <f t="shared" si="12"/>
        <v>0.52321402642660086</v>
      </c>
      <c r="AE10" s="32">
        <f t="shared" si="13"/>
        <v>1.3760354455503677E-2</v>
      </c>
      <c r="AF10" s="32">
        <f t="shared" si="14"/>
        <v>1.2104453057295669E-2</v>
      </c>
      <c r="AG10" s="32">
        <f>X10/DV10*2</f>
        <v>2.6315782646247152E-2</v>
      </c>
      <c r="AH10" s="32">
        <f>(P10+S10+T10)/DV10*2</f>
        <v>3.5285232500790652E-2</v>
      </c>
      <c r="AI10" s="32">
        <f>R10/DV10*2</f>
        <v>2.5348580602462058E-2</v>
      </c>
      <c r="AJ10" s="34">
        <f>X10/FZ10*2</f>
        <v>8.4871243916969555E-2</v>
      </c>
      <c r="AK10" s="35"/>
      <c r="AL10" s="36">
        <f t="shared" si="15"/>
        <v>0.13482634242096056</v>
      </c>
      <c r="AM10" s="33">
        <f t="shared" si="16"/>
        <v>0.20823111863140567</v>
      </c>
      <c r="AN10" s="34">
        <f t="shared" si="17"/>
        <v>0.23158576756505073</v>
      </c>
      <c r="AO10" s="28"/>
      <c r="AP10" s="36">
        <f t="shared" si="18"/>
        <v>0.8093710225437073</v>
      </c>
      <c r="AQ10" s="33">
        <f t="shared" si="19"/>
        <v>0.76744957637757927</v>
      </c>
      <c r="AR10" s="33">
        <f t="shared" si="20"/>
        <v>6.7055051989777389E-2</v>
      </c>
      <c r="AS10" s="33">
        <f t="shared" si="21"/>
        <v>0.25818267471393069</v>
      </c>
      <c r="AT10" s="33">
        <f t="shared" si="22"/>
        <v>0.13223388219996529</v>
      </c>
      <c r="AU10" s="37">
        <v>7.61</v>
      </c>
      <c r="AV10" s="38">
        <v>1.3</v>
      </c>
      <c r="AW10" s="28"/>
      <c r="AX10" s="36">
        <f>GB10/C10</f>
        <v>0.13699546394368209</v>
      </c>
      <c r="AY10" s="33">
        <v>0.1249</v>
      </c>
      <c r="AZ10" s="33">
        <f t="shared" si="23"/>
        <v>0.29506924320969569</v>
      </c>
      <c r="BA10" s="33">
        <f t="shared" si="24"/>
        <v>0.29506924320969569</v>
      </c>
      <c r="BB10" s="34">
        <f t="shared" si="25"/>
        <v>0.29506924320969569</v>
      </c>
      <c r="BC10" s="33"/>
      <c r="BD10" s="36">
        <f t="shared" si="26"/>
        <v>0.27705659979552599</v>
      </c>
      <c r="BE10" s="33">
        <f t="shared" si="27"/>
        <v>0.27841374506087918</v>
      </c>
      <c r="BF10" s="34">
        <f t="shared" si="28"/>
        <v>0.28024194984450762</v>
      </c>
      <c r="BG10" s="25"/>
      <c r="BH10" s="39">
        <v>2.3E-2</v>
      </c>
      <c r="BI10" s="36">
        <f t="shared" si="29"/>
        <v>1.2937499999999999E-2</v>
      </c>
      <c r="BJ10" s="34">
        <f t="shared" si="30"/>
        <v>1.7250000000000001E-2</v>
      </c>
      <c r="BK10" s="39">
        <v>0.01</v>
      </c>
      <c r="BL10" s="33"/>
      <c r="BM10" s="39">
        <f t="shared" si="31"/>
        <v>0.12411909979552599</v>
      </c>
      <c r="BN10" s="34">
        <f t="shared" si="32"/>
        <v>0.10616374506087917</v>
      </c>
      <c r="BO10" s="34">
        <f t="shared" si="33"/>
        <v>8.2241949844507611E-2</v>
      </c>
      <c r="BP10" s="28"/>
      <c r="BQ10" s="31">
        <f>Q10/GD10*2</f>
        <v>1.0621344320440713E-3</v>
      </c>
      <c r="BR10" s="33">
        <f t="shared" si="34"/>
        <v>5.4204288109173264E-2</v>
      </c>
      <c r="BS10" s="32">
        <f>FC10/E10</f>
        <v>1.0769352527033153E-2</v>
      </c>
      <c r="BT10" s="33">
        <f t="shared" si="35"/>
        <v>6.3095379875981544E-2</v>
      </c>
      <c r="BU10" s="33">
        <f t="shared" si="36"/>
        <v>0.8558534604818373</v>
      </c>
      <c r="BV10" s="34">
        <f t="shared" si="37"/>
        <v>0.87410279287342751</v>
      </c>
      <c r="BW10" s="28"/>
      <c r="BX10" s="27">
        <v>57.747999999999998</v>
      </c>
      <c r="BY10" s="28">
        <v>163.441</v>
      </c>
      <c r="BZ10" s="29">
        <f t="shared" si="38"/>
        <v>221.18899999999999</v>
      </c>
      <c r="CA10" s="25">
        <v>3689.5439999999999</v>
      </c>
      <c r="CB10" s="28">
        <v>3.0609999999999999</v>
      </c>
      <c r="CC10" s="28">
        <v>4.6550000000000002</v>
      </c>
      <c r="CD10" s="29">
        <f t="shared" si="39"/>
        <v>3681.8279999999995</v>
      </c>
      <c r="CE10" s="28">
        <v>379.22</v>
      </c>
      <c r="CF10" s="28">
        <v>209.09399999999999</v>
      </c>
      <c r="CG10" s="29">
        <f t="shared" si="40"/>
        <v>588.31400000000008</v>
      </c>
      <c r="CH10" s="28">
        <v>5.7279999999999998</v>
      </c>
      <c r="CI10" s="28">
        <v>0</v>
      </c>
      <c r="CJ10" s="28">
        <v>34.970999999999997</v>
      </c>
      <c r="CK10" s="28">
        <v>8.4779999999999092</v>
      </c>
      <c r="CL10" s="29">
        <f t="shared" si="41"/>
        <v>4540.5079999999989</v>
      </c>
      <c r="CM10" s="28">
        <v>125.961</v>
      </c>
      <c r="CN10" s="25">
        <v>2986.21</v>
      </c>
      <c r="CO10" s="29">
        <f t="shared" si="42"/>
        <v>3112.1709999999998</v>
      </c>
      <c r="CP10" s="28">
        <v>778.91200000000003</v>
      </c>
      <c r="CQ10" s="28">
        <v>27.395999999999958</v>
      </c>
      <c r="CR10" s="29">
        <f t="shared" si="43"/>
        <v>806.30799999999999</v>
      </c>
      <c r="CS10" s="28">
        <v>0</v>
      </c>
      <c r="CT10" s="28">
        <v>622.029</v>
      </c>
      <c r="CU10" s="42">
        <f t="shared" si="44"/>
        <v>4540.5079999999998</v>
      </c>
      <c r="CV10" s="28"/>
      <c r="CW10" s="43">
        <v>600.40899999999999</v>
      </c>
      <c r="CX10" s="28"/>
      <c r="CY10" s="24">
        <v>175</v>
      </c>
      <c r="CZ10" s="25">
        <v>150</v>
      </c>
      <c r="DA10" s="25">
        <v>225</v>
      </c>
      <c r="DB10" s="25">
        <v>200</v>
      </c>
      <c r="DC10" s="25">
        <v>150</v>
      </c>
      <c r="DD10" s="25">
        <v>0</v>
      </c>
      <c r="DE10" s="26">
        <f t="shared" si="45"/>
        <v>900</v>
      </c>
      <c r="DF10" s="34">
        <f t="shared" si="46"/>
        <v>0.19821570626018059</v>
      </c>
      <c r="DG10" s="25"/>
      <c r="DH10" s="44" t="s">
        <v>232</v>
      </c>
      <c r="DI10" s="45">
        <v>22.1</v>
      </c>
      <c r="DJ10" s="46">
        <v>1</v>
      </c>
      <c r="DK10" s="45" t="s">
        <v>168</v>
      </c>
      <c r="DL10" s="47" t="s">
        <v>169</v>
      </c>
      <c r="DM10" s="45"/>
      <c r="DN10" s="39" t="s">
        <v>224</v>
      </c>
      <c r="DO10" s="36"/>
      <c r="DP10" s="34"/>
      <c r="DQ10" s="25"/>
      <c r="DR10" s="24">
        <v>586.21199999999999</v>
      </c>
      <c r="DS10" s="25">
        <v>586.21199999999999</v>
      </c>
      <c r="DT10" s="26">
        <v>586.21199999999999</v>
      </c>
      <c r="DU10" s="25"/>
      <c r="DV10" s="44">
        <f t="shared" si="47"/>
        <v>1927.2085</v>
      </c>
      <c r="DW10" s="25">
        <v>1867.7239999999999</v>
      </c>
      <c r="DX10" s="26">
        <v>1986.693</v>
      </c>
      <c r="DY10" s="25"/>
      <c r="DZ10" s="24">
        <v>583.45100000000002</v>
      </c>
      <c r="EA10" s="25">
        <v>586.30899999999997</v>
      </c>
      <c r="EB10" s="25">
        <v>590.15899999999999</v>
      </c>
      <c r="EC10" s="26">
        <v>2105.8910000000001</v>
      </c>
      <c r="ED10" s="25"/>
      <c r="EE10" s="24">
        <v>167.09690400000002</v>
      </c>
      <c r="EF10" s="25">
        <v>12.946146300000001</v>
      </c>
      <c r="EG10" s="25">
        <v>34.717643300000006</v>
      </c>
      <c r="EH10" s="25">
        <v>18.279572299999998</v>
      </c>
      <c r="EI10" s="25">
        <v>249.57844599999999</v>
      </c>
      <c r="EJ10" s="25">
        <v>44.056571000000005</v>
      </c>
      <c r="EK10" s="25">
        <v>25.507999999999999</v>
      </c>
      <c r="EL10" s="25">
        <v>0</v>
      </c>
      <c r="EM10" s="26">
        <v>2838.386</v>
      </c>
      <c r="EN10" s="26">
        <f t="shared" si="48"/>
        <v>3390.5692829</v>
      </c>
      <c r="EO10" s="45"/>
      <c r="EP10" s="36">
        <f t="shared" si="49"/>
        <v>4.9282846052648648E-2</v>
      </c>
      <c r="EQ10" s="33">
        <f t="shared" si="50"/>
        <v>3.8182810082344008E-3</v>
      </c>
      <c r="ER10" s="33">
        <f t="shared" si="51"/>
        <v>1.0239473198525981E-2</v>
      </c>
      <c r="ES10" s="33">
        <f t="shared" si="52"/>
        <v>5.3912988571539321E-3</v>
      </c>
      <c r="ET10" s="33">
        <f t="shared" si="53"/>
        <v>7.360959920763871E-2</v>
      </c>
      <c r="EU10" s="33">
        <f t="shared" si="54"/>
        <v>1.2993856583965104E-2</v>
      </c>
      <c r="EV10" s="33">
        <f t="shared" si="55"/>
        <v>7.5232204009654273E-3</v>
      </c>
      <c r="EW10" s="33">
        <f t="shared" si="56"/>
        <v>0</v>
      </c>
      <c r="EX10" s="33">
        <f t="shared" si="57"/>
        <v>0.83714142469086783</v>
      </c>
      <c r="EY10" s="39">
        <f t="shared" si="58"/>
        <v>1</v>
      </c>
      <c r="EZ10" s="45"/>
      <c r="FA10" s="27">
        <v>21.691000000000003</v>
      </c>
      <c r="FB10" s="28">
        <v>18.042999999999999</v>
      </c>
      <c r="FC10" s="42">
        <f t="shared" si="59"/>
        <v>39.734000000000002</v>
      </c>
      <c r="FE10" s="27">
        <f>CB10</f>
        <v>3.0609999999999999</v>
      </c>
      <c r="FF10" s="28">
        <f>CC10</f>
        <v>4.6550000000000002</v>
      </c>
      <c r="FG10" s="42">
        <f t="shared" si="60"/>
        <v>7.7160000000000002</v>
      </c>
      <c r="FI10" s="53">
        <v>3165.3429999999998</v>
      </c>
      <c r="FJ10" s="54">
        <v>484.56</v>
      </c>
      <c r="FK10" s="55">
        <v>39.637999999999998</v>
      </c>
      <c r="FL10" s="56">
        <f t="shared" si="61"/>
        <v>3689.5409999999997</v>
      </c>
      <c r="FM10" s="57">
        <f t="shared" si="62"/>
        <v>0.85792324844743562</v>
      </c>
      <c r="FN10" s="58">
        <f t="shared" si="63"/>
        <v>0.13133340976560501</v>
      </c>
      <c r="FO10" s="59">
        <f t="shared" si="64"/>
        <v>1.0743341786959407E-2</v>
      </c>
      <c r="FP10" s="61">
        <f t="shared" si="65"/>
        <v>1</v>
      </c>
      <c r="FR10" s="24">
        <f>FV10*E10</f>
        <v>3157.7089999999998</v>
      </c>
      <c r="FS10" s="25">
        <f>E10*FW10</f>
        <v>531.83500000000004</v>
      </c>
      <c r="FT10" s="26">
        <f t="shared" si="66"/>
        <v>3689.5439999999999</v>
      </c>
      <c r="FV10" s="36">
        <v>0.8558534604818373</v>
      </c>
      <c r="FW10" s="33">
        <v>0.1441465395181627</v>
      </c>
      <c r="FX10" s="34">
        <f t="shared" si="67"/>
        <v>1</v>
      </c>
      <c r="FY10" s="45"/>
      <c r="FZ10" s="44">
        <f t="shared" si="68"/>
        <v>597.56400000000008</v>
      </c>
      <c r="GA10" s="25">
        <v>573.09900000000005</v>
      </c>
      <c r="GB10" s="26">
        <v>622.029</v>
      </c>
      <c r="GD10" s="44">
        <f t="shared" si="69"/>
        <v>3470.3705</v>
      </c>
      <c r="GE10" s="25">
        <v>3251.1970000000001</v>
      </c>
      <c r="GF10" s="26">
        <v>3689.5439999999999</v>
      </c>
      <c r="GH10" s="44">
        <f t="shared" si="70"/>
        <v>389.96750000000003</v>
      </c>
      <c r="GI10" s="25">
        <v>245.12</v>
      </c>
      <c r="GJ10" s="26">
        <f>F10</f>
        <v>534.81500000000005</v>
      </c>
      <c r="GL10" s="44">
        <f t="shared" si="71"/>
        <v>3860.3380000000002</v>
      </c>
      <c r="GM10" s="45">
        <f t="shared" si="72"/>
        <v>3496.317</v>
      </c>
      <c r="GN10" s="46">
        <f t="shared" si="73"/>
        <v>4224.3590000000004</v>
      </c>
      <c r="GP10" s="44">
        <f t="shared" si="74"/>
        <v>2705.4485</v>
      </c>
      <c r="GQ10" s="25">
        <v>2424.6869999999999</v>
      </c>
      <c r="GR10" s="26">
        <f>G10</f>
        <v>2986.21</v>
      </c>
      <c r="GS10" s="25"/>
      <c r="GT10" s="44">
        <f t="shared" si="75"/>
        <v>4189.8629999999994</v>
      </c>
      <c r="GU10" s="25">
        <v>3839.2179999999998</v>
      </c>
      <c r="GV10" s="26">
        <f>C10</f>
        <v>4540.5079999999998</v>
      </c>
      <c r="GW10" s="25"/>
      <c r="GX10" s="61">
        <f>DX10/C10</f>
        <v>0.43754861790795219</v>
      </c>
      <c r="GY10" s="62"/>
    </row>
    <row r="11" spans="1:207" x14ac:dyDescent="0.25">
      <c r="A11" s="1"/>
      <c r="B11" s="23" t="s">
        <v>182</v>
      </c>
      <c r="C11" s="24">
        <v>2292.8980000000001</v>
      </c>
      <c r="D11" s="25">
        <f t="shared" si="0"/>
        <v>2210.9650000000001</v>
      </c>
      <c r="E11" s="25">
        <v>1901.49</v>
      </c>
      <c r="F11" s="25">
        <v>109.43899999999999</v>
      </c>
      <c r="G11" s="25">
        <v>1969.2860000000001</v>
      </c>
      <c r="H11" s="25">
        <f t="shared" si="1"/>
        <v>2402.337</v>
      </c>
      <c r="I11" s="26">
        <f t="shared" si="2"/>
        <v>2010.9290000000001</v>
      </c>
      <c r="J11" s="25"/>
      <c r="K11" s="27">
        <v>32.061999999999998</v>
      </c>
      <c r="L11" s="28">
        <v>5.3320000000000007</v>
      </c>
      <c r="M11" s="28">
        <v>0.316</v>
      </c>
      <c r="N11" s="29">
        <f t="shared" si="3"/>
        <v>37.71</v>
      </c>
      <c r="O11" s="28">
        <v>19.271999999999998</v>
      </c>
      <c r="P11" s="29">
        <f t="shared" si="4"/>
        <v>18.438000000000002</v>
      </c>
      <c r="Q11" s="28">
        <v>1.825</v>
      </c>
      <c r="R11" s="29">
        <f t="shared" si="5"/>
        <v>16.613000000000003</v>
      </c>
      <c r="S11" s="28">
        <v>3.8719999999999999</v>
      </c>
      <c r="T11" s="28">
        <v>0.152</v>
      </c>
      <c r="U11" s="28">
        <v>0</v>
      </c>
      <c r="V11" s="29">
        <f t="shared" si="6"/>
        <v>20.637000000000004</v>
      </c>
      <c r="W11" s="28">
        <v>5.6</v>
      </c>
      <c r="X11" s="30">
        <f t="shared" si="7"/>
        <v>15.037000000000004</v>
      </c>
      <c r="Y11" s="28"/>
      <c r="Z11" s="31">
        <f t="shared" si="8"/>
        <v>2.9002720531532609E-2</v>
      </c>
      <c r="AA11" s="32">
        <f t="shared" si="9"/>
        <v>4.8232332940593816E-3</v>
      </c>
      <c r="AB11" s="33">
        <f t="shared" si="10"/>
        <v>0.46178176067474958</v>
      </c>
      <c r="AC11" s="33">
        <f t="shared" si="11"/>
        <v>0.46346977057380595</v>
      </c>
      <c r="AD11" s="33">
        <f t="shared" si="12"/>
        <v>0.51105807478122511</v>
      </c>
      <c r="AE11" s="32">
        <f t="shared" si="13"/>
        <v>1.7433111786030079E-2</v>
      </c>
      <c r="AF11" s="32">
        <f t="shared" si="14"/>
        <v>1.3602205371862516E-2</v>
      </c>
      <c r="AG11" s="32">
        <f>X11/DV11*2</f>
        <v>3.0596138399862867E-2</v>
      </c>
      <c r="AH11" s="32">
        <f>(P11+S11+T11)/DV11*2</f>
        <v>4.5703960945515702E-2</v>
      </c>
      <c r="AI11" s="32">
        <f>R11/DV11*2</f>
        <v>3.3802862754334091E-2</v>
      </c>
      <c r="AJ11" s="34">
        <f>X11/FZ11*2</f>
        <v>0.11263923533862186</v>
      </c>
      <c r="AK11" s="35"/>
      <c r="AL11" s="36">
        <f t="shared" si="15"/>
        <v>5.5666652972259957E-2</v>
      </c>
      <c r="AM11" s="33">
        <f t="shared" si="16"/>
        <v>7.4308900090018642E-2</v>
      </c>
      <c r="AN11" s="34">
        <f t="shared" si="17"/>
        <v>7.1726687887655391E-2</v>
      </c>
      <c r="AO11" s="28"/>
      <c r="AP11" s="36">
        <f t="shared" si="18"/>
        <v>1.0356541449074148</v>
      </c>
      <c r="AQ11" s="33">
        <f t="shared" si="19"/>
        <v>0.98622885600044874</v>
      </c>
      <c r="AR11" s="33">
        <f t="shared" si="20"/>
        <v>-0.125637512004459</v>
      </c>
      <c r="AS11" s="33">
        <f t="shared" si="21"/>
        <v>2.7096059222869919E-2</v>
      </c>
      <c r="AT11" s="33">
        <f t="shared" si="22"/>
        <v>0.13763019549932007</v>
      </c>
      <c r="AU11" s="37">
        <v>1.35</v>
      </c>
      <c r="AV11" s="38">
        <v>1.52</v>
      </c>
      <c r="AW11" s="28"/>
      <c r="AX11" s="36">
        <f>GB11/C11</f>
        <v>0.12270803149551354</v>
      </c>
      <c r="AY11" s="33">
        <v>0.1114</v>
      </c>
      <c r="AZ11" s="33">
        <f t="shared" si="23"/>
        <v>0.26943220422431197</v>
      </c>
      <c r="BA11" s="33">
        <f t="shared" si="24"/>
        <v>0.26943220422431197</v>
      </c>
      <c r="BB11" s="34">
        <f t="shared" si="25"/>
        <v>0.28994653964190176</v>
      </c>
      <c r="BC11" s="33"/>
      <c r="BD11" s="36">
        <f t="shared" si="26"/>
        <v>0.25751805137596068</v>
      </c>
      <c r="BE11" s="33">
        <f t="shared" si="27"/>
        <v>0.2593333790644799</v>
      </c>
      <c r="BF11" s="34">
        <f t="shared" si="28"/>
        <v>0.28038362467056177</v>
      </c>
      <c r="BG11" s="25"/>
      <c r="BH11" s="39">
        <v>2.5999999999999999E-2</v>
      </c>
      <c r="BI11" s="36">
        <f t="shared" si="29"/>
        <v>1.4624999999999999E-2</v>
      </c>
      <c r="BJ11" s="34">
        <f t="shared" si="30"/>
        <v>1.95E-2</v>
      </c>
      <c r="BK11" s="39">
        <v>0.01</v>
      </c>
      <c r="BL11" s="33"/>
      <c r="BM11" s="39">
        <f t="shared" si="31"/>
        <v>0.10289305137596066</v>
      </c>
      <c r="BN11" s="34">
        <f t="shared" si="32"/>
        <v>8.4833379064479908E-2</v>
      </c>
      <c r="BO11" s="34">
        <f t="shared" si="33"/>
        <v>7.9383624670561759E-2</v>
      </c>
      <c r="BP11" s="28"/>
      <c r="BQ11" s="31">
        <f>Q11/GD11*2</f>
        <v>1.9715278963095156E-3</v>
      </c>
      <c r="BR11" s="33">
        <f t="shared" si="34"/>
        <v>8.1248330513756559E-2</v>
      </c>
      <c r="BS11" s="32">
        <f>FC11/E11</f>
        <v>2.1310130476626225E-2</v>
      </c>
      <c r="BT11" s="33">
        <f t="shared" si="35"/>
        <v>0.13840273792933847</v>
      </c>
      <c r="BU11" s="33">
        <f t="shared" si="36"/>
        <v>0.81069529684615749</v>
      </c>
      <c r="BV11" s="34">
        <f t="shared" si="37"/>
        <v>0.82099765829624016</v>
      </c>
      <c r="BW11" s="28"/>
      <c r="BX11" s="27">
        <v>78.686000000000007</v>
      </c>
      <c r="BY11" s="28">
        <v>147.584</v>
      </c>
      <c r="BZ11" s="29">
        <f t="shared" si="38"/>
        <v>226.27</v>
      </c>
      <c r="CA11" s="25">
        <v>1901.49</v>
      </c>
      <c r="CB11" s="28">
        <v>9.8209999999999997</v>
      </c>
      <c r="CC11" s="28">
        <v>1.5979999999999999</v>
      </c>
      <c r="CD11" s="29">
        <f t="shared" si="39"/>
        <v>1890.0710000000001</v>
      </c>
      <c r="CE11" s="28">
        <v>89.302000000000007</v>
      </c>
      <c r="CF11" s="28">
        <v>55.417000000000002</v>
      </c>
      <c r="CG11" s="29">
        <f t="shared" si="40"/>
        <v>144.71899999999999</v>
      </c>
      <c r="CH11" s="28">
        <v>0</v>
      </c>
      <c r="CI11" s="28">
        <v>0</v>
      </c>
      <c r="CJ11" s="28">
        <v>23.257999999999999</v>
      </c>
      <c r="CK11" s="28">
        <v>8.5800000000000232</v>
      </c>
      <c r="CL11" s="29">
        <f t="shared" si="41"/>
        <v>2292.8980000000001</v>
      </c>
      <c r="CM11" s="28">
        <v>7.4089999999999998</v>
      </c>
      <c r="CN11" s="25">
        <v>1969.2860000000001</v>
      </c>
      <c r="CO11" s="29">
        <f t="shared" si="42"/>
        <v>1976.6950000000002</v>
      </c>
      <c r="CP11" s="28">
        <v>0</v>
      </c>
      <c r="CQ11" s="28">
        <v>14.756999999999948</v>
      </c>
      <c r="CR11" s="29">
        <f t="shared" si="43"/>
        <v>14.756999999999948</v>
      </c>
      <c r="CS11" s="28">
        <v>20.088999999999999</v>
      </c>
      <c r="CT11" s="28">
        <v>281.35700000000003</v>
      </c>
      <c r="CU11" s="42">
        <f t="shared" si="44"/>
        <v>2292.8980000000001</v>
      </c>
      <c r="CV11" s="28"/>
      <c r="CW11" s="43">
        <v>315.572</v>
      </c>
      <c r="CX11" s="28"/>
      <c r="CY11" s="24">
        <v>0</v>
      </c>
      <c r="CZ11" s="25">
        <v>0</v>
      </c>
      <c r="DA11" s="25">
        <v>20</v>
      </c>
      <c r="DB11" s="25">
        <v>0</v>
      </c>
      <c r="DC11" s="25">
        <v>0</v>
      </c>
      <c r="DD11" s="25">
        <v>0</v>
      </c>
      <c r="DE11" s="26">
        <f t="shared" si="45"/>
        <v>20</v>
      </c>
      <c r="DF11" s="34">
        <f t="shared" si="46"/>
        <v>8.722586002517338E-3</v>
      </c>
      <c r="DG11" s="25"/>
      <c r="DH11" s="44" t="s">
        <v>229</v>
      </c>
      <c r="DI11" s="45">
        <v>20.5</v>
      </c>
      <c r="DJ11" s="46">
        <v>3</v>
      </c>
      <c r="DK11" s="45" t="s">
        <v>168</v>
      </c>
      <c r="DL11" s="44"/>
      <c r="DM11" s="45"/>
      <c r="DN11" s="39" t="s">
        <v>224</v>
      </c>
      <c r="DO11" s="36"/>
      <c r="DP11" s="34"/>
      <c r="DQ11" s="25"/>
      <c r="DR11" s="24">
        <v>262.67700000000002</v>
      </c>
      <c r="DS11" s="25">
        <v>262.67700000000002</v>
      </c>
      <c r="DT11" s="26">
        <v>282.67700000000002</v>
      </c>
      <c r="DU11" s="25"/>
      <c r="DV11" s="44">
        <f t="shared" si="47"/>
        <v>982.93450000000007</v>
      </c>
      <c r="DW11" s="25">
        <v>990.94100000000003</v>
      </c>
      <c r="DX11" s="26">
        <v>974.928</v>
      </c>
      <c r="DY11" s="25"/>
      <c r="DZ11" s="24">
        <v>259.03199999999998</v>
      </c>
      <c r="EA11" s="25">
        <v>260.858</v>
      </c>
      <c r="EB11" s="25">
        <v>282.03199999999998</v>
      </c>
      <c r="EC11" s="26">
        <v>1005.879</v>
      </c>
      <c r="ED11" s="25"/>
      <c r="EE11" s="24">
        <v>80.235910290000007</v>
      </c>
      <c r="EF11" s="25">
        <v>6.8747412700000003</v>
      </c>
      <c r="EG11" s="25">
        <v>55.972999999999999</v>
      </c>
      <c r="EH11" s="25">
        <v>27.88</v>
      </c>
      <c r="EI11" s="25">
        <v>51.719723590000001</v>
      </c>
      <c r="EJ11" s="25">
        <v>49.245792870000002</v>
      </c>
      <c r="EK11" s="25">
        <v>4.9742242499999998</v>
      </c>
      <c r="EL11" s="25">
        <v>0</v>
      </c>
      <c r="EM11" s="26">
        <v>1588.6780000000001</v>
      </c>
      <c r="EN11" s="26">
        <f t="shared" si="48"/>
        <v>1865.5813922700002</v>
      </c>
      <c r="EO11" s="45"/>
      <c r="EP11" s="36">
        <f t="shared" si="49"/>
        <v>4.3008528398951619E-2</v>
      </c>
      <c r="EQ11" s="33">
        <f t="shared" si="50"/>
        <v>3.6850395798786136E-3</v>
      </c>
      <c r="ER11" s="33">
        <f t="shared" si="51"/>
        <v>3.000297935642102E-2</v>
      </c>
      <c r="ES11" s="33">
        <f t="shared" si="52"/>
        <v>1.4944402916710163E-2</v>
      </c>
      <c r="ET11" s="33">
        <f t="shared" si="53"/>
        <v>2.772311291498707E-2</v>
      </c>
      <c r="EU11" s="33">
        <f t="shared" si="54"/>
        <v>2.63970219010808E-2</v>
      </c>
      <c r="EV11" s="33">
        <f t="shared" si="55"/>
        <v>2.6663131775491546E-3</v>
      </c>
      <c r="EW11" s="33">
        <f t="shared" si="56"/>
        <v>0</v>
      </c>
      <c r="EX11" s="33">
        <f t="shared" si="57"/>
        <v>0.85157260175442151</v>
      </c>
      <c r="EY11" s="39">
        <f t="shared" si="58"/>
        <v>1</v>
      </c>
      <c r="EZ11" s="45"/>
      <c r="FA11" s="27">
        <v>29.477000000000004</v>
      </c>
      <c r="FB11" s="28">
        <v>11.044</v>
      </c>
      <c r="FC11" s="42">
        <f t="shared" si="59"/>
        <v>40.521000000000001</v>
      </c>
      <c r="FE11" s="27">
        <f>CB11</f>
        <v>9.8209999999999997</v>
      </c>
      <c r="FF11" s="28">
        <f>CC11</f>
        <v>1.5979999999999999</v>
      </c>
      <c r="FG11" s="42">
        <f t="shared" si="60"/>
        <v>11.419</v>
      </c>
      <c r="FI11" s="53">
        <v>1750.998</v>
      </c>
      <c r="FJ11" s="54">
        <v>110.11799999999999</v>
      </c>
      <c r="FK11" s="55">
        <v>40.374000000000002</v>
      </c>
      <c r="FL11" s="56">
        <f t="shared" si="61"/>
        <v>1901.49</v>
      </c>
      <c r="FM11" s="57">
        <f t="shared" si="62"/>
        <v>0.92085574996450159</v>
      </c>
      <c r="FN11" s="58">
        <f t="shared" si="63"/>
        <v>5.7911427354337908E-2</v>
      </c>
      <c r="FO11" s="59">
        <f t="shared" si="64"/>
        <v>2.1232822681160564E-2</v>
      </c>
      <c r="FP11" s="61">
        <f t="shared" si="65"/>
        <v>1.0000000000000002</v>
      </c>
      <c r="FR11" s="24">
        <f>FV11*E11</f>
        <v>1541.529</v>
      </c>
      <c r="FS11" s="25">
        <f>E11*FW11</f>
        <v>359.96100000000001</v>
      </c>
      <c r="FT11" s="26">
        <f t="shared" si="66"/>
        <v>1901.49</v>
      </c>
      <c r="FV11" s="36">
        <v>0.81069529684615749</v>
      </c>
      <c r="FW11" s="33">
        <v>0.18930470315384251</v>
      </c>
      <c r="FX11" s="34">
        <f t="shared" si="67"/>
        <v>1</v>
      </c>
      <c r="FY11" s="45"/>
      <c r="FZ11" s="44">
        <f t="shared" si="68"/>
        <v>266.99400000000003</v>
      </c>
      <c r="GA11" s="25">
        <v>252.631</v>
      </c>
      <c r="GB11" s="26">
        <v>281.35700000000003</v>
      </c>
      <c r="GD11" s="44">
        <f t="shared" si="69"/>
        <v>1851.356</v>
      </c>
      <c r="GE11" s="25">
        <v>1801.222</v>
      </c>
      <c r="GF11" s="26">
        <v>1901.49</v>
      </c>
      <c r="GH11" s="44">
        <f t="shared" si="70"/>
        <v>90.025999999999996</v>
      </c>
      <c r="GI11" s="25">
        <v>70.613</v>
      </c>
      <c r="GJ11" s="26">
        <f>F11</f>
        <v>109.43899999999999</v>
      </c>
      <c r="GL11" s="44">
        <f t="shared" si="71"/>
        <v>1941.3820000000001</v>
      </c>
      <c r="GM11" s="45">
        <f t="shared" si="72"/>
        <v>1871.835</v>
      </c>
      <c r="GN11" s="46">
        <f t="shared" si="73"/>
        <v>2010.9290000000001</v>
      </c>
      <c r="GP11" s="44">
        <f t="shared" si="74"/>
        <v>1903.3875</v>
      </c>
      <c r="GQ11" s="25">
        <v>1837.489</v>
      </c>
      <c r="GR11" s="26">
        <f>G11</f>
        <v>1969.2860000000001</v>
      </c>
      <c r="GS11" s="25"/>
      <c r="GT11" s="44">
        <f t="shared" si="75"/>
        <v>2210.9650000000001</v>
      </c>
      <c r="GU11" s="25">
        <v>2129.0320000000002</v>
      </c>
      <c r="GV11" s="26">
        <f>C11</f>
        <v>2292.8980000000001</v>
      </c>
      <c r="GW11" s="25"/>
      <c r="GX11" s="61">
        <f>DX11/C11</f>
        <v>0.42519466631311115</v>
      </c>
      <c r="GY11" s="62"/>
    </row>
    <row r="12" spans="1:207" x14ac:dyDescent="0.25">
      <c r="A12" s="1"/>
      <c r="B12" s="23" t="s">
        <v>183</v>
      </c>
      <c r="C12" s="24">
        <v>2923.2429999999999</v>
      </c>
      <c r="D12" s="25">
        <f t="shared" si="0"/>
        <v>2797.9769999999999</v>
      </c>
      <c r="E12" s="25">
        <v>2374.6999999999998</v>
      </c>
      <c r="F12" s="25">
        <v>1012.068</v>
      </c>
      <c r="G12" s="25">
        <v>2024.2159999999999</v>
      </c>
      <c r="H12" s="25">
        <f t="shared" si="1"/>
        <v>3935.3109999999997</v>
      </c>
      <c r="I12" s="26">
        <f t="shared" si="2"/>
        <v>3386.768</v>
      </c>
      <c r="J12" s="25"/>
      <c r="K12" s="27">
        <v>33.75</v>
      </c>
      <c r="L12" s="28">
        <v>6.8969999999999994</v>
      </c>
      <c r="M12" s="28">
        <v>1.7999999999999999E-2</v>
      </c>
      <c r="N12" s="29">
        <f t="shared" si="3"/>
        <v>40.664999999999999</v>
      </c>
      <c r="O12" s="28">
        <v>22.914000000000001</v>
      </c>
      <c r="P12" s="29">
        <f t="shared" si="4"/>
        <v>17.750999999999998</v>
      </c>
      <c r="Q12" s="28">
        <v>3.5259999999999998</v>
      </c>
      <c r="R12" s="29">
        <f t="shared" si="5"/>
        <v>14.224999999999998</v>
      </c>
      <c r="S12" s="28">
        <v>4.1159999999999997</v>
      </c>
      <c r="T12" s="28">
        <v>-0.504</v>
      </c>
      <c r="U12" s="28">
        <v>0</v>
      </c>
      <c r="V12" s="29">
        <f t="shared" si="6"/>
        <v>17.836999999999996</v>
      </c>
      <c r="W12" s="28">
        <v>3.5960000000000001</v>
      </c>
      <c r="X12" s="30">
        <f t="shared" si="7"/>
        <v>14.240999999999996</v>
      </c>
      <c r="Y12" s="28"/>
      <c r="Z12" s="31">
        <f t="shared" si="8"/>
        <v>2.4124572861034956E-2</v>
      </c>
      <c r="AA12" s="32">
        <f t="shared" si="9"/>
        <v>4.9299904895572762E-3</v>
      </c>
      <c r="AB12" s="33">
        <f t="shared" si="10"/>
        <v>0.51751473677078397</v>
      </c>
      <c r="AC12" s="33">
        <f t="shared" si="11"/>
        <v>0.51169022576539158</v>
      </c>
      <c r="AD12" s="33">
        <f t="shared" si="12"/>
        <v>0.56348210992253789</v>
      </c>
      <c r="AE12" s="32">
        <f t="shared" si="13"/>
        <v>1.6378976667785334E-2</v>
      </c>
      <c r="AF12" s="32">
        <f t="shared" si="14"/>
        <v>1.017949754411848E-2</v>
      </c>
      <c r="AG12" s="32">
        <f>X12/DV12*2</f>
        <v>2.1026156458906452E-2</v>
      </c>
      <c r="AH12" s="32">
        <f>(P12+S12+T12)/DV12*2</f>
        <v>3.1541449366731165E-2</v>
      </c>
      <c r="AI12" s="32">
        <f>R12/DV12*2</f>
        <v>2.1002533222943917E-2</v>
      </c>
      <c r="AJ12" s="34">
        <f>X12/FZ12*2</f>
        <v>7.6776166555922287E-2</v>
      </c>
      <c r="AK12" s="35"/>
      <c r="AL12" s="36">
        <f t="shared" si="15"/>
        <v>9.497263375339475E-2</v>
      </c>
      <c r="AM12" s="33">
        <f t="shared" si="16"/>
        <v>8.8567299731037691E-2</v>
      </c>
      <c r="AN12" s="34">
        <f t="shared" si="17"/>
        <v>0.1011006023313208</v>
      </c>
      <c r="AO12" s="28"/>
      <c r="AP12" s="36">
        <f t="shared" si="18"/>
        <v>0.85240914641849497</v>
      </c>
      <c r="AQ12" s="33">
        <f t="shared" si="19"/>
        <v>0.79862669803493291</v>
      </c>
      <c r="AR12" s="33">
        <f t="shared" si="20"/>
        <v>3.6773200175284765E-2</v>
      </c>
      <c r="AS12" s="33">
        <f t="shared" si="21"/>
        <v>0.32706552277727169</v>
      </c>
      <c r="AT12" s="33">
        <f t="shared" si="22"/>
        <v>0.13782911649835472</v>
      </c>
      <c r="AU12" s="37">
        <v>2.94</v>
      </c>
      <c r="AV12" s="38">
        <v>1.41</v>
      </c>
      <c r="AW12" s="28"/>
      <c r="AX12" s="36">
        <f>GB12/C12</f>
        <v>0.13598937891923454</v>
      </c>
      <c r="AY12" s="33">
        <v>0.12039999999999999</v>
      </c>
      <c r="AZ12" s="33">
        <f t="shared" si="23"/>
        <v>0.25430118105867716</v>
      </c>
      <c r="BA12" s="33">
        <f t="shared" si="24"/>
        <v>0.27649318927267913</v>
      </c>
      <c r="BB12" s="34">
        <f t="shared" si="25"/>
        <v>0.2986851974866811</v>
      </c>
      <c r="BC12" s="33"/>
      <c r="BD12" s="36">
        <f t="shared" si="26"/>
        <v>0.21212776286516513</v>
      </c>
      <c r="BE12" s="33">
        <f t="shared" si="27"/>
        <v>0.23427144853007484</v>
      </c>
      <c r="BF12" s="34">
        <f t="shared" si="28"/>
        <v>0.25766956422916482</v>
      </c>
      <c r="BG12" s="25"/>
      <c r="BH12" s="39">
        <v>2.3E-2</v>
      </c>
      <c r="BI12" s="36">
        <f t="shared" si="29"/>
        <v>1.2937499999999999E-2</v>
      </c>
      <c r="BJ12" s="34">
        <f t="shared" si="30"/>
        <v>1.7250000000000001E-2</v>
      </c>
      <c r="BK12" s="39">
        <v>1.4999999999999999E-2</v>
      </c>
      <c r="BL12" s="33"/>
      <c r="BM12" s="39">
        <f t="shared" si="31"/>
        <v>5.9190262865165127E-2</v>
      </c>
      <c r="BN12" s="34">
        <f t="shared" si="32"/>
        <v>6.2021448530074824E-2</v>
      </c>
      <c r="BO12" s="34">
        <f t="shared" si="33"/>
        <v>5.9669564229164807E-2</v>
      </c>
      <c r="BP12" s="28"/>
      <c r="BQ12" s="31">
        <f>Q12/GD12*2</f>
        <v>3.1042626385792229E-3</v>
      </c>
      <c r="BR12" s="33">
        <f t="shared" si="34"/>
        <v>0.1650517249449984</v>
      </c>
      <c r="BS12" s="32">
        <f>FC12/E12</f>
        <v>3.1191729481618732E-2</v>
      </c>
      <c r="BT12" s="33">
        <f t="shared" si="35"/>
        <v>0.17815164451927124</v>
      </c>
      <c r="BU12" s="33">
        <f t="shared" si="36"/>
        <v>0.80583736893081237</v>
      </c>
      <c r="BV12" s="34">
        <f t="shared" si="37"/>
        <v>0.8638589947702352</v>
      </c>
      <c r="BW12" s="28"/>
      <c r="BX12" s="27">
        <v>72.813999999999993</v>
      </c>
      <c r="BY12" s="28">
        <v>109.858</v>
      </c>
      <c r="BZ12" s="29">
        <f t="shared" si="38"/>
        <v>182.672</v>
      </c>
      <c r="CA12" s="25">
        <v>2374.6999999999998</v>
      </c>
      <c r="CB12" s="28">
        <v>14.888</v>
      </c>
      <c r="CC12" s="28">
        <v>3.3570000000000002</v>
      </c>
      <c r="CD12" s="29">
        <f t="shared" si="39"/>
        <v>2356.4549999999999</v>
      </c>
      <c r="CE12" s="28">
        <v>220.23599999999999</v>
      </c>
      <c r="CF12" s="28">
        <v>151.28200000000001</v>
      </c>
      <c r="CG12" s="29">
        <f t="shared" si="40"/>
        <v>371.51800000000003</v>
      </c>
      <c r="CH12" s="28">
        <v>0</v>
      </c>
      <c r="CI12" s="28">
        <v>0</v>
      </c>
      <c r="CJ12" s="28">
        <v>8.3849999999999998</v>
      </c>
      <c r="CK12" s="28">
        <v>4.2129999999999566</v>
      </c>
      <c r="CL12" s="29">
        <f t="shared" si="41"/>
        <v>2923.2429999999999</v>
      </c>
      <c r="CM12" s="28">
        <v>75.629000000000005</v>
      </c>
      <c r="CN12" s="25">
        <v>2024.2159999999999</v>
      </c>
      <c r="CO12" s="29">
        <f t="shared" si="42"/>
        <v>2099.8449999999998</v>
      </c>
      <c r="CP12" s="28">
        <v>374.42899999999997</v>
      </c>
      <c r="CQ12" s="28">
        <v>-8.9079999999997881</v>
      </c>
      <c r="CR12" s="29">
        <f t="shared" si="43"/>
        <v>365.52100000000019</v>
      </c>
      <c r="CS12" s="28">
        <v>60.347000000000001</v>
      </c>
      <c r="CT12" s="28">
        <v>397.53</v>
      </c>
      <c r="CU12" s="42">
        <f t="shared" si="44"/>
        <v>2923.2430000000004</v>
      </c>
      <c r="CV12" s="28"/>
      <c r="CW12" s="43">
        <v>402.90800000000002</v>
      </c>
      <c r="CX12" s="28"/>
      <c r="CY12" s="24">
        <v>75</v>
      </c>
      <c r="CZ12" s="25">
        <v>50</v>
      </c>
      <c r="DA12" s="25">
        <v>205</v>
      </c>
      <c r="DB12" s="25">
        <v>50</v>
      </c>
      <c r="DC12" s="25">
        <v>80</v>
      </c>
      <c r="DD12" s="25">
        <v>50</v>
      </c>
      <c r="DE12" s="26">
        <f t="shared" si="45"/>
        <v>510</v>
      </c>
      <c r="DF12" s="34">
        <f t="shared" si="46"/>
        <v>0.1744637719135905</v>
      </c>
      <c r="DG12" s="25"/>
      <c r="DH12" s="44" t="s">
        <v>229</v>
      </c>
      <c r="DI12" s="45">
        <v>21.7</v>
      </c>
      <c r="DJ12" s="46">
        <v>2</v>
      </c>
      <c r="DK12" s="45" t="s">
        <v>168</v>
      </c>
      <c r="DL12" s="44"/>
      <c r="DM12" s="45"/>
      <c r="DN12" s="39" t="s">
        <v>224</v>
      </c>
      <c r="DO12" s="36"/>
      <c r="DP12" s="34"/>
      <c r="DQ12" s="25"/>
      <c r="DR12" s="24">
        <v>343.774</v>
      </c>
      <c r="DS12" s="25">
        <v>373.774</v>
      </c>
      <c r="DT12" s="26">
        <v>403.774</v>
      </c>
      <c r="DU12" s="25"/>
      <c r="DV12" s="44">
        <f t="shared" si="47"/>
        <v>1354.5985000000001</v>
      </c>
      <c r="DW12" s="25">
        <v>1357.3589999999999</v>
      </c>
      <c r="DX12" s="26">
        <v>1351.838</v>
      </c>
      <c r="DY12" s="25"/>
      <c r="DZ12" s="24">
        <v>343.44799999999998</v>
      </c>
      <c r="EA12" s="25">
        <v>379.3</v>
      </c>
      <c r="EB12" s="25">
        <v>417.18299999999999</v>
      </c>
      <c r="EC12" s="26">
        <v>1619.0619999999999</v>
      </c>
      <c r="ED12" s="25"/>
      <c r="EE12" s="24">
        <v>12.708</v>
      </c>
      <c r="EF12" s="25">
        <v>16.314</v>
      </c>
      <c r="EG12" s="25">
        <v>96.727999999999994</v>
      </c>
      <c r="EH12" s="25">
        <v>85.298000000000002</v>
      </c>
      <c r="EI12" s="25">
        <v>227.25399999999999</v>
      </c>
      <c r="EJ12" s="25">
        <v>54.48</v>
      </c>
      <c r="EK12" s="25">
        <v>10.923</v>
      </c>
      <c r="EL12" s="25">
        <v>0</v>
      </c>
      <c r="EM12" s="26">
        <v>1785.9839999999999</v>
      </c>
      <c r="EN12" s="26">
        <f t="shared" si="48"/>
        <v>2289.6889999999999</v>
      </c>
      <c r="EO12" s="45"/>
      <c r="EP12" s="36">
        <f t="shared" si="49"/>
        <v>5.5500987251980516E-3</v>
      </c>
      <c r="EQ12" s="33">
        <f t="shared" si="50"/>
        <v>7.1249850962292263E-3</v>
      </c>
      <c r="ER12" s="33">
        <f t="shared" si="51"/>
        <v>4.2245038518331529E-2</v>
      </c>
      <c r="ES12" s="33">
        <f t="shared" si="52"/>
        <v>3.7253094197508919E-2</v>
      </c>
      <c r="ET12" s="33">
        <f t="shared" si="53"/>
        <v>9.9251033655662416E-2</v>
      </c>
      <c r="EU12" s="33">
        <f t="shared" si="54"/>
        <v>2.3793624374314589E-2</v>
      </c>
      <c r="EV12" s="33">
        <f t="shared" si="55"/>
        <v>4.7705168693215547E-3</v>
      </c>
      <c r="EW12" s="33">
        <f t="shared" si="56"/>
        <v>0</v>
      </c>
      <c r="EX12" s="33">
        <f t="shared" si="57"/>
        <v>0.78001160856343377</v>
      </c>
      <c r="EY12" s="39">
        <f t="shared" si="58"/>
        <v>1</v>
      </c>
      <c r="EZ12" s="45"/>
      <c r="FA12" s="27">
        <v>20.188000000000002</v>
      </c>
      <c r="FB12" s="28">
        <v>53.882999999999996</v>
      </c>
      <c r="FC12" s="42">
        <f t="shared" si="59"/>
        <v>74.070999999999998</v>
      </c>
      <c r="FE12" s="27">
        <f>CB12</f>
        <v>14.888</v>
      </c>
      <c r="FF12" s="28">
        <f>CC12</f>
        <v>3.3570000000000002</v>
      </c>
      <c r="FG12" s="42">
        <f t="shared" si="60"/>
        <v>18.245000000000001</v>
      </c>
      <c r="FI12" s="53">
        <v>2133.3009999999999</v>
      </c>
      <c r="FJ12" s="54">
        <v>171.08799999999999</v>
      </c>
      <c r="FK12" s="55">
        <v>70.307000000000002</v>
      </c>
      <c r="FL12" s="56">
        <f t="shared" si="61"/>
        <v>2374.6959999999999</v>
      </c>
      <c r="FM12" s="57">
        <f t="shared" si="62"/>
        <v>0.8983469884145171</v>
      </c>
      <c r="FN12" s="58">
        <f t="shared" si="63"/>
        <v>7.2046274554721956E-2</v>
      </c>
      <c r="FO12" s="59">
        <f t="shared" si="64"/>
        <v>2.9606737030760992E-2</v>
      </c>
      <c r="FP12" s="61">
        <f t="shared" si="65"/>
        <v>1</v>
      </c>
      <c r="FR12" s="24">
        <f>FV12*E12</f>
        <v>1913.6220000000001</v>
      </c>
      <c r="FS12" s="25">
        <f>E12*FW12</f>
        <v>461.0779999999998</v>
      </c>
      <c r="FT12" s="26">
        <f t="shared" si="66"/>
        <v>2374.6999999999998</v>
      </c>
      <c r="FV12" s="36">
        <v>0.80583736893081237</v>
      </c>
      <c r="FW12" s="33">
        <v>0.19416263106918763</v>
      </c>
      <c r="FX12" s="34">
        <f t="shared" si="67"/>
        <v>1</v>
      </c>
      <c r="FY12" s="45"/>
      <c r="FZ12" s="44">
        <f t="shared" si="68"/>
        <v>370.97449999999998</v>
      </c>
      <c r="GA12" s="25">
        <v>344.41899999999998</v>
      </c>
      <c r="GB12" s="26">
        <v>397.53</v>
      </c>
      <c r="GD12" s="44">
        <f t="shared" si="69"/>
        <v>2271.7150000000001</v>
      </c>
      <c r="GE12" s="25">
        <v>2168.73</v>
      </c>
      <c r="GF12" s="26">
        <v>2374.6999999999998</v>
      </c>
      <c r="GH12" s="44">
        <f t="shared" si="70"/>
        <v>977.27700000000004</v>
      </c>
      <c r="GI12" s="25">
        <v>942.48599999999999</v>
      </c>
      <c r="GJ12" s="26">
        <f>F12</f>
        <v>1012.068</v>
      </c>
      <c r="GL12" s="44">
        <f t="shared" si="71"/>
        <v>3248.9920000000002</v>
      </c>
      <c r="GM12" s="45">
        <f t="shared" si="72"/>
        <v>3111.2159999999999</v>
      </c>
      <c r="GN12" s="46">
        <f t="shared" si="73"/>
        <v>3386.768</v>
      </c>
      <c r="GP12" s="44">
        <f t="shared" si="74"/>
        <v>1931.2864999999999</v>
      </c>
      <c r="GQ12" s="25">
        <v>1838.357</v>
      </c>
      <c r="GR12" s="26">
        <f>G12</f>
        <v>2024.2159999999999</v>
      </c>
      <c r="GS12" s="25"/>
      <c r="GT12" s="44">
        <f t="shared" si="75"/>
        <v>2797.9769999999999</v>
      </c>
      <c r="GU12" s="25">
        <v>2672.7109999999998</v>
      </c>
      <c r="GV12" s="26">
        <f>C12</f>
        <v>2923.2429999999999</v>
      </c>
      <c r="GW12" s="25"/>
      <c r="GX12" s="61">
        <f>DX12/C12</f>
        <v>0.46244462058063596</v>
      </c>
      <c r="GY12" s="62"/>
    </row>
    <row r="13" spans="1:207" x14ac:dyDescent="0.25">
      <c r="A13" s="1"/>
      <c r="B13" s="23" t="s">
        <v>184</v>
      </c>
      <c r="C13" s="24">
        <v>1069.653</v>
      </c>
      <c r="D13" s="25">
        <f t="shared" si="0"/>
        <v>1020.774</v>
      </c>
      <c r="E13" s="25">
        <v>872.30200000000002</v>
      </c>
      <c r="F13" s="25">
        <v>289.93299999999999</v>
      </c>
      <c r="G13" s="25">
        <v>780.07799999999997</v>
      </c>
      <c r="H13" s="25">
        <f t="shared" si="1"/>
        <v>1359.586</v>
      </c>
      <c r="I13" s="26">
        <f t="shared" si="2"/>
        <v>1162.2350000000001</v>
      </c>
      <c r="J13" s="25"/>
      <c r="K13" s="27">
        <v>18.923000000000002</v>
      </c>
      <c r="L13" s="28">
        <v>3.3359999999999999</v>
      </c>
      <c r="M13" s="28">
        <v>0.35099999999999998</v>
      </c>
      <c r="N13" s="29">
        <f t="shared" si="3"/>
        <v>22.61</v>
      </c>
      <c r="O13" s="28">
        <v>13.721</v>
      </c>
      <c r="P13" s="29">
        <f t="shared" si="4"/>
        <v>8.8889999999999993</v>
      </c>
      <c r="Q13" s="28">
        <v>0.626</v>
      </c>
      <c r="R13" s="29">
        <f t="shared" si="5"/>
        <v>8.2629999999999999</v>
      </c>
      <c r="S13" s="28">
        <v>0.95099999999999996</v>
      </c>
      <c r="T13" s="28">
        <v>-6.2E-2</v>
      </c>
      <c r="U13" s="28">
        <v>0</v>
      </c>
      <c r="V13" s="29">
        <f t="shared" si="6"/>
        <v>9.152000000000001</v>
      </c>
      <c r="W13" s="28">
        <v>2.0419999999999998</v>
      </c>
      <c r="X13" s="30">
        <f t="shared" si="7"/>
        <v>7.1100000000000012</v>
      </c>
      <c r="Y13" s="28"/>
      <c r="Z13" s="31">
        <f t="shared" si="8"/>
        <v>3.7075787588633724E-2</v>
      </c>
      <c r="AA13" s="32">
        <f t="shared" si="9"/>
        <v>6.5362166356118002E-3</v>
      </c>
      <c r="AB13" s="33">
        <f t="shared" si="10"/>
        <v>0.58389718711434535</v>
      </c>
      <c r="AC13" s="33">
        <f t="shared" si="11"/>
        <v>0.58236068078604475</v>
      </c>
      <c r="AD13" s="33">
        <f t="shared" si="12"/>
        <v>0.60685537372843879</v>
      </c>
      <c r="AE13" s="32">
        <f t="shared" si="13"/>
        <v>2.6883521719793021E-2</v>
      </c>
      <c r="AF13" s="32">
        <f t="shared" si="14"/>
        <v>1.3930605599280547E-2</v>
      </c>
      <c r="AG13" s="32">
        <f>X13/DV13*2</f>
        <v>2.7119626733238811E-2</v>
      </c>
      <c r="AH13" s="32">
        <f>(P13+S13+T13)/DV13*2</f>
        <v>3.729616177181562E-2</v>
      </c>
      <c r="AI13" s="32">
        <f>R13/DV13*2</f>
        <v>3.1517507130344902E-2</v>
      </c>
      <c r="AJ13" s="34">
        <f>X13/FZ13*2</f>
        <v>9.0230716515647624E-2</v>
      </c>
      <c r="AK13" s="35"/>
      <c r="AL13" s="36">
        <f t="shared" si="15"/>
        <v>6.0249193845391007E-2</v>
      </c>
      <c r="AM13" s="33">
        <f t="shared" si="16"/>
        <v>8.2665576146676384E-2</v>
      </c>
      <c r="AN13" s="34">
        <f t="shared" si="17"/>
        <v>0.10058790913438945</v>
      </c>
      <c r="AO13" s="28"/>
      <c r="AP13" s="36">
        <f t="shared" si="18"/>
        <v>0.89427514782724327</v>
      </c>
      <c r="AQ13" s="33">
        <f t="shared" si="19"/>
        <v>0.86224284520530381</v>
      </c>
      <c r="AR13" s="33">
        <f t="shared" si="20"/>
        <v>-2.7442544451331392E-2</v>
      </c>
      <c r="AS13" s="33">
        <f t="shared" si="21"/>
        <v>0.252041082481889</v>
      </c>
      <c r="AT13" s="33">
        <f t="shared" si="22"/>
        <v>0.14395696548319872</v>
      </c>
      <c r="AU13" s="37">
        <v>2.66</v>
      </c>
      <c r="AV13" s="38">
        <v>1.4382999999999999</v>
      </c>
      <c r="AW13" s="28"/>
      <c r="AX13" s="36">
        <f>GB13/C13</f>
        <v>0.15276355977125292</v>
      </c>
      <c r="AY13" s="33">
        <v>0.1343</v>
      </c>
      <c r="AZ13" s="33">
        <f t="shared" si="23"/>
        <v>0.28672185430463576</v>
      </c>
      <c r="BA13" s="33">
        <f t="shared" si="24"/>
        <v>0.28046725533480499</v>
      </c>
      <c r="BB13" s="34">
        <f t="shared" si="25"/>
        <v>0.28046725533480499</v>
      </c>
      <c r="BC13" s="33"/>
      <c r="BD13" s="36">
        <f t="shared" si="26"/>
        <v>0.24830190033790672</v>
      </c>
      <c r="BE13" s="33">
        <f t="shared" si="27"/>
        <v>0.25078194980836727</v>
      </c>
      <c r="BF13" s="34">
        <f t="shared" si="28"/>
        <v>0.25412185853602026</v>
      </c>
      <c r="BG13" s="25"/>
      <c r="BH13" s="39">
        <v>2.8000000000000001E-2</v>
      </c>
      <c r="BI13" s="36">
        <f t="shared" si="29"/>
        <v>1.575E-2</v>
      </c>
      <c r="BJ13" s="34">
        <f t="shared" si="30"/>
        <v>2.1000000000000001E-2</v>
      </c>
      <c r="BK13" s="39">
        <v>0.01</v>
      </c>
      <c r="BL13" s="33"/>
      <c r="BM13" s="39">
        <f t="shared" si="31"/>
        <v>9.2551900337906723E-2</v>
      </c>
      <c r="BN13" s="34">
        <f t="shared" si="32"/>
        <v>7.4781949808367276E-2</v>
      </c>
      <c r="BO13" s="34">
        <f t="shared" si="33"/>
        <v>5.1121858536020248E-2</v>
      </c>
      <c r="BP13" s="28"/>
      <c r="BQ13" s="31">
        <f>Q13/GD13*2</f>
        <v>1.4772556318896071E-3</v>
      </c>
      <c r="BR13" s="33">
        <f t="shared" si="34"/>
        <v>6.4021272243812641E-2</v>
      </c>
      <c r="BS13" s="32">
        <f>FC13/E13</f>
        <v>2.627415734458937E-2</v>
      </c>
      <c r="BT13" s="33">
        <f t="shared" si="35"/>
        <v>0.13565873119221525</v>
      </c>
      <c r="BU13" s="33">
        <f t="shared" si="36"/>
        <v>0.78725257995510722</v>
      </c>
      <c r="BV13" s="34">
        <f t="shared" si="37"/>
        <v>0.84032489126553567</v>
      </c>
      <c r="BW13" s="28"/>
      <c r="BX13" s="27">
        <v>1.1259999999999999</v>
      </c>
      <c r="BY13" s="28">
        <v>59.484000000000002</v>
      </c>
      <c r="BZ13" s="29">
        <f t="shared" si="38"/>
        <v>60.61</v>
      </c>
      <c r="CA13" s="25">
        <v>872.30200000000002</v>
      </c>
      <c r="CB13" s="28">
        <v>2.6619999999999999</v>
      </c>
      <c r="CC13" s="28">
        <v>2.8800000000000003</v>
      </c>
      <c r="CD13" s="29">
        <f t="shared" si="39"/>
        <v>866.76</v>
      </c>
      <c r="CE13" s="28">
        <v>93.373999999999995</v>
      </c>
      <c r="CF13" s="28">
        <v>39.704999999999998</v>
      </c>
      <c r="CG13" s="29">
        <f t="shared" si="40"/>
        <v>133.07900000000001</v>
      </c>
      <c r="CH13" s="28">
        <v>0</v>
      </c>
      <c r="CI13" s="28">
        <v>0</v>
      </c>
      <c r="CJ13" s="28">
        <v>9.1890000000000001</v>
      </c>
      <c r="CK13" s="28">
        <v>1.5000000000007674E-2</v>
      </c>
      <c r="CL13" s="29">
        <f t="shared" si="41"/>
        <v>1069.6530000000002</v>
      </c>
      <c r="CM13" s="28">
        <v>124.63</v>
      </c>
      <c r="CN13" s="25">
        <v>780.07799999999997</v>
      </c>
      <c r="CO13" s="29">
        <f t="shared" si="42"/>
        <v>904.70799999999997</v>
      </c>
      <c r="CP13" s="28">
        <v>0</v>
      </c>
      <c r="CQ13" s="28">
        <v>1.5410000000000537</v>
      </c>
      <c r="CR13" s="29">
        <f t="shared" si="43"/>
        <v>1.5410000000000537</v>
      </c>
      <c r="CS13" s="28">
        <v>0</v>
      </c>
      <c r="CT13" s="28">
        <v>163.404</v>
      </c>
      <c r="CU13" s="42">
        <f t="shared" si="44"/>
        <v>1069.653</v>
      </c>
      <c r="CV13" s="28"/>
      <c r="CW13" s="43">
        <v>153.98399999999998</v>
      </c>
      <c r="CX13" s="28"/>
      <c r="CY13" s="24">
        <v>20</v>
      </c>
      <c r="CZ13" s="25">
        <v>40</v>
      </c>
      <c r="DA13" s="25">
        <v>60</v>
      </c>
      <c r="DB13" s="25">
        <v>0</v>
      </c>
      <c r="DC13" s="25">
        <v>0</v>
      </c>
      <c r="DD13" s="25">
        <v>0</v>
      </c>
      <c r="DE13" s="26">
        <f t="shared" si="45"/>
        <v>120</v>
      </c>
      <c r="DF13" s="34">
        <f t="shared" si="46"/>
        <v>0.11218591449750526</v>
      </c>
      <c r="DG13" s="25"/>
      <c r="DH13" s="44" t="s">
        <v>233</v>
      </c>
      <c r="DI13" s="45">
        <v>8.9</v>
      </c>
      <c r="DJ13" s="46">
        <v>2</v>
      </c>
      <c r="DK13" s="45" t="s">
        <v>168</v>
      </c>
      <c r="DL13" s="44"/>
      <c r="DM13" s="48" t="s">
        <v>170</v>
      </c>
      <c r="DN13" s="39">
        <v>0.38424351891202729</v>
      </c>
      <c r="DO13" s="36"/>
      <c r="DP13" s="34"/>
      <c r="DQ13" s="25"/>
      <c r="DR13" s="24">
        <v>155.86199999999999</v>
      </c>
      <c r="DS13" s="25">
        <v>152.46199999999999</v>
      </c>
      <c r="DT13" s="26">
        <v>152.46199999999999</v>
      </c>
      <c r="DU13" s="25"/>
      <c r="DV13" s="44">
        <f t="shared" si="47"/>
        <v>524.34349999999995</v>
      </c>
      <c r="DW13" s="25">
        <v>505.08699999999999</v>
      </c>
      <c r="DX13" s="26">
        <v>543.6</v>
      </c>
      <c r="DY13" s="25"/>
      <c r="DZ13" s="24">
        <v>152.18199999999999</v>
      </c>
      <c r="EA13" s="25">
        <v>153.702</v>
      </c>
      <c r="EB13" s="25">
        <v>155.749</v>
      </c>
      <c r="EC13" s="26">
        <v>612.89099999999996</v>
      </c>
      <c r="ED13" s="25"/>
      <c r="EE13" s="24">
        <v>16.710999999999999</v>
      </c>
      <c r="EF13" s="25">
        <v>9.2059999999999995</v>
      </c>
      <c r="EG13" s="25">
        <v>28.847999999999999</v>
      </c>
      <c r="EH13" s="25">
        <v>11.817</v>
      </c>
      <c r="EI13" s="25">
        <v>99.069000000000003</v>
      </c>
      <c r="EJ13" s="25">
        <v>0.9</v>
      </c>
      <c r="EK13" s="25">
        <v>0.13100000000000001</v>
      </c>
      <c r="EL13" s="25">
        <v>16.410000000000146</v>
      </c>
      <c r="EM13" s="26">
        <v>666.53599999999994</v>
      </c>
      <c r="EN13" s="26">
        <f t="shared" si="48"/>
        <v>849.62800000000004</v>
      </c>
      <c r="EO13" s="45"/>
      <c r="EP13" s="36">
        <f t="shared" si="49"/>
        <v>1.9668607908402264E-2</v>
      </c>
      <c r="EQ13" s="33">
        <f t="shared" si="50"/>
        <v>1.0835330285725045E-2</v>
      </c>
      <c r="ER13" s="33">
        <f t="shared" si="51"/>
        <v>3.3953683259026299E-2</v>
      </c>
      <c r="ES13" s="33">
        <f t="shared" si="52"/>
        <v>1.3908439929004222E-2</v>
      </c>
      <c r="ET13" s="33">
        <f t="shared" si="53"/>
        <v>0.11660279557641696</v>
      </c>
      <c r="EU13" s="33">
        <f t="shared" si="54"/>
        <v>1.059287123305729E-3</v>
      </c>
      <c r="EV13" s="33">
        <f t="shared" si="55"/>
        <v>1.5418512572561169E-4</v>
      </c>
      <c r="EW13" s="33">
        <f t="shared" si="56"/>
        <v>1.9314335214941299E-2</v>
      </c>
      <c r="EX13" s="33">
        <f t="shared" si="57"/>
        <v>0.78450333557745267</v>
      </c>
      <c r="EY13" s="39">
        <f t="shared" si="58"/>
        <v>1.0000000000000002</v>
      </c>
      <c r="EZ13" s="45"/>
      <c r="FA13" s="27">
        <v>22.918999999999997</v>
      </c>
      <c r="FB13" s="28">
        <v>0</v>
      </c>
      <c r="FC13" s="42">
        <f t="shared" si="59"/>
        <v>22.918999999999997</v>
      </c>
      <c r="FE13" s="27">
        <f>CB13</f>
        <v>2.6619999999999999</v>
      </c>
      <c r="FF13" s="28">
        <f>CC13</f>
        <v>2.8800000000000003</v>
      </c>
      <c r="FG13" s="42">
        <f t="shared" si="60"/>
        <v>5.5419999999999998</v>
      </c>
      <c r="FI13" s="53">
        <v>740.57799999999997</v>
      </c>
      <c r="FJ13" s="54">
        <v>108.578</v>
      </c>
      <c r="FK13" s="55">
        <v>23.146000000000001</v>
      </c>
      <c r="FL13" s="56">
        <f t="shared" si="61"/>
        <v>872.30199999999991</v>
      </c>
      <c r="FM13" s="57">
        <f t="shared" si="62"/>
        <v>0.84899266538423623</v>
      </c>
      <c r="FN13" s="58">
        <f t="shared" si="63"/>
        <v>0.12447294629612222</v>
      </c>
      <c r="FO13" s="59">
        <f t="shared" si="64"/>
        <v>2.6534388319641597E-2</v>
      </c>
      <c r="FP13" s="61">
        <f t="shared" si="65"/>
        <v>1</v>
      </c>
      <c r="FR13" s="24">
        <f>FV13*E13</f>
        <v>686.72199999999998</v>
      </c>
      <c r="FS13" s="25">
        <f>E13*FW13</f>
        <v>185.58000000000007</v>
      </c>
      <c r="FT13" s="26">
        <f t="shared" si="66"/>
        <v>872.30200000000002</v>
      </c>
      <c r="FV13" s="36">
        <v>0.78725257995510722</v>
      </c>
      <c r="FW13" s="33">
        <v>0.21274742004489278</v>
      </c>
      <c r="FX13" s="34">
        <f t="shared" si="67"/>
        <v>1</v>
      </c>
      <c r="FY13" s="45"/>
      <c r="FZ13" s="44">
        <f t="shared" si="68"/>
        <v>157.596</v>
      </c>
      <c r="GA13" s="25">
        <v>151.78800000000001</v>
      </c>
      <c r="GB13" s="26">
        <v>163.404</v>
      </c>
      <c r="GD13" s="44">
        <f t="shared" si="69"/>
        <v>847.51749999999993</v>
      </c>
      <c r="GE13" s="25">
        <v>822.73299999999995</v>
      </c>
      <c r="GF13" s="26">
        <v>872.30200000000002</v>
      </c>
      <c r="GH13" s="44">
        <f t="shared" si="70"/>
        <v>270.34699999999998</v>
      </c>
      <c r="GI13" s="25">
        <v>250.761</v>
      </c>
      <c r="GJ13" s="26">
        <f>F13</f>
        <v>289.93299999999999</v>
      </c>
      <c r="GL13" s="44">
        <f t="shared" si="71"/>
        <v>1117.8645000000001</v>
      </c>
      <c r="GM13" s="45">
        <f t="shared" si="72"/>
        <v>1073.4939999999999</v>
      </c>
      <c r="GN13" s="46">
        <f t="shared" si="73"/>
        <v>1162.2350000000001</v>
      </c>
      <c r="GP13" s="44">
        <f t="shared" si="74"/>
        <v>744.43049999999994</v>
      </c>
      <c r="GQ13" s="25">
        <v>708.78300000000002</v>
      </c>
      <c r="GR13" s="26">
        <f>G13</f>
        <v>780.07799999999997</v>
      </c>
      <c r="GS13" s="25"/>
      <c r="GT13" s="44">
        <f t="shared" si="75"/>
        <v>1020.774</v>
      </c>
      <c r="GU13" s="25">
        <v>971.89499999999998</v>
      </c>
      <c r="GV13" s="26">
        <f>C13</f>
        <v>1069.653</v>
      </c>
      <c r="GW13" s="25"/>
      <c r="GX13" s="61">
        <f>DX13/C13</f>
        <v>0.50820219267369882</v>
      </c>
      <c r="GY13" s="62"/>
    </row>
    <row r="14" spans="1:207" x14ac:dyDescent="0.25">
      <c r="A14" s="1"/>
      <c r="B14" s="23" t="s">
        <v>185</v>
      </c>
      <c r="C14" s="24">
        <v>11465.659</v>
      </c>
      <c r="D14" s="25">
        <f t="shared" si="0"/>
        <v>10972.485499999999</v>
      </c>
      <c r="E14" s="25">
        <v>9503.4369999999999</v>
      </c>
      <c r="F14" s="25">
        <v>4200.0219999999999</v>
      </c>
      <c r="G14" s="25">
        <v>8286.3250000000007</v>
      </c>
      <c r="H14" s="25">
        <f t="shared" si="1"/>
        <v>15665.681</v>
      </c>
      <c r="I14" s="26">
        <f t="shared" si="2"/>
        <v>13703.458999999999</v>
      </c>
      <c r="J14" s="25"/>
      <c r="K14" s="27">
        <v>119.529</v>
      </c>
      <c r="L14" s="28">
        <v>49.19</v>
      </c>
      <c r="M14" s="28">
        <v>0.436</v>
      </c>
      <c r="N14" s="29">
        <f t="shared" si="3"/>
        <v>169.155</v>
      </c>
      <c r="O14" s="28">
        <v>82.759</v>
      </c>
      <c r="P14" s="29">
        <f t="shared" si="4"/>
        <v>86.396000000000001</v>
      </c>
      <c r="Q14" s="28">
        <v>8.4350000000000005</v>
      </c>
      <c r="R14" s="29">
        <f t="shared" si="5"/>
        <v>77.960999999999999</v>
      </c>
      <c r="S14" s="28">
        <v>22.065000000000001</v>
      </c>
      <c r="T14" s="28">
        <v>0.44799999999999995</v>
      </c>
      <c r="U14" s="28">
        <v>0</v>
      </c>
      <c r="V14" s="29">
        <f t="shared" si="6"/>
        <v>100.47399999999999</v>
      </c>
      <c r="W14" s="28">
        <v>19.489000000000001</v>
      </c>
      <c r="X14" s="30">
        <f t="shared" si="7"/>
        <v>80.984999999999985</v>
      </c>
      <c r="Y14" s="28"/>
      <c r="Z14" s="31">
        <f t="shared" si="8"/>
        <v>2.1787041778273484E-2</v>
      </c>
      <c r="AA14" s="32">
        <f t="shared" si="9"/>
        <v>8.9660633408902672E-3</v>
      </c>
      <c r="AB14" s="33">
        <f t="shared" si="10"/>
        <v>0.43178308324811654</v>
      </c>
      <c r="AC14" s="33">
        <f t="shared" si="11"/>
        <v>0.43279468674824811</v>
      </c>
      <c r="AD14" s="33">
        <f t="shared" si="12"/>
        <v>0.48924950489196301</v>
      </c>
      <c r="AE14" s="32">
        <f t="shared" si="13"/>
        <v>1.5084822850757016E-2</v>
      </c>
      <c r="AF14" s="32">
        <f t="shared" si="14"/>
        <v>1.4761468584305715E-2</v>
      </c>
      <c r="AG14" s="32">
        <f>X14/DV14*2</f>
        <v>3.1041785670240095E-2</v>
      </c>
      <c r="AH14" s="32">
        <f>(P14+S14+T14)/DV14*2</f>
        <v>4.1745135958019125E-2</v>
      </c>
      <c r="AI14" s="32">
        <f>R14/DV14*2</f>
        <v>2.9882677688924969E-2</v>
      </c>
      <c r="AJ14" s="34">
        <f>X14/FZ14*2</f>
        <v>0.12861560157988269</v>
      </c>
      <c r="AK14" s="35"/>
      <c r="AL14" s="36">
        <f t="shared" si="15"/>
        <v>0.10465866012914253</v>
      </c>
      <c r="AM14" s="33">
        <f t="shared" si="16"/>
        <v>0.10578121919774598</v>
      </c>
      <c r="AN14" s="34">
        <f t="shared" si="17"/>
        <v>8.772543557848958E-2</v>
      </c>
      <c r="AO14" s="28"/>
      <c r="AP14" s="36">
        <f t="shared" si="18"/>
        <v>0.87192928200607855</v>
      </c>
      <c r="AQ14" s="33">
        <f t="shared" si="19"/>
        <v>0.82892295460329302</v>
      </c>
      <c r="AR14" s="33">
        <f t="shared" si="20"/>
        <v>3.981201603850245E-2</v>
      </c>
      <c r="AS14" s="33">
        <f t="shared" si="21"/>
        <v>0.31217708463159421</v>
      </c>
      <c r="AT14" s="33">
        <f t="shared" si="22"/>
        <v>0.10934391123964179</v>
      </c>
      <c r="AU14" s="37">
        <v>2.88</v>
      </c>
      <c r="AV14" s="38">
        <v>1.34</v>
      </c>
      <c r="AW14" s="28"/>
      <c r="AX14" s="36">
        <f>GB14/C14</f>
        <v>0.11363638147619774</v>
      </c>
      <c r="AY14" s="33">
        <v>0.10580000000000001</v>
      </c>
      <c r="AZ14" s="33">
        <f t="shared" si="23"/>
        <v>0.22236058537219849</v>
      </c>
      <c r="BA14" s="33">
        <f t="shared" si="24"/>
        <v>0.23898879775807352</v>
      </c>
      <c r="BB14" s="34">
        <f t="shared" si="25"/>
        <v>0.26485490591387911</v>
      </c>
      <c r="BC14" s="33"/>
      <c r="BD14" s="36">
        <f t="shared" si="26"/>
        <v>0.18186706501921171</v>
      </c>
      <c r="BE14" s="33">
        <f t="shared" si="27"/>
        <v>0.19945712320843825</v>
      </c>
      <c r="BF14" s="34">
        <f t="shared" si="28"/>
        <v>0.22600070136766692</v>
      </c>
      <c r="BG14" s="25"/>
      <c r="BH14" s="39">
        <v>1.9E-2</v>
      </c>
      <c r="BI14" s="36">
        <f t="shared" si="29"/>
        <v>1.0687499999999999E-2</v>
      </c>
      <c r="BJ14" s="34">
        <f t="shared" si="30"/>
        <v>1.4249999999999999E-2</v>
      </c>
      <c r="BK14" s="39">
        <v>0.01</v>
      </c>
      <c r="BL14" s="33"/>
      <c r="BM14" s="39">
        <f t="shared" si="31"/>
        <v>3.1179565019211708E-2</v>
      </c>
      <c r="BN14" s="34">
        <f t="shared" si="32"/>
        <v>3.0207123208438241E-2</v>
      </c>
      <c r="BO14" s="34">
        <f t="shared" si="33"/>
        <v>3.2000701367666917E-2</v>
      </c>
      <c r="BP14" s="28"/>
      <c r="BQ14" s="31">
        <f>Q14/GD14*2</f>
        <v>1.8634202432387507E-3</v>
      </c>
      <c r="BR14" s="33">
        <f t="shared" si="34"/>
        <v>7.7449981176945903E-2</v>
      </c>
      <c r="BS14" s="32">
        <f>FC14/E14</f>
        <v>1.8548868162118613E-2</v>
      </c>
      <c r="BT14" s="33">
        <f t="shared" si="35"/>
        <v>0.13125180558906135</v>
      </c>
      <c r="BU14" s="33">
        <f t="shared" si="36"/>
        <v>0.65792744246108015</v>
      </c>
      <c r="BV14" s="34">
        <f t="shared" si="37"/>
        <v>0.76277048006638337</v>
      </c>
      <c r="BW14" s="28"/>
      <c r="BX14" s="27">
        <v>80.588999999999999</v>
      </c>
      <c r="BY14" s="28">
        <v>326.18200000000002</v>
      </c>
      <c r="BZ14" s="29">
        <f t="shared" si="38"/>
        <v>406.77100000000002</v>
      </c>
      <c r="CA14" s="25">
        <v>9503.4369999999999</v>
      </c>
      <c r="CB14" s="28">
        <v>26.265999999999998</v>
      </c>
      <c r="CC14" s="28">
        <v>13.870000000000001</v>
      </c>
      <c r="CD14" s="29">
        <f t="shared" si="39"/>
        <v>9463.3009999999995</v>
      </c>
      <c r="CE14" s="28">
        <v>846.92899999999997</v>
      </c>
      <c r="CF14" s="28">
        <v>568.98099999999999</v>
      </c>
      <c r="CG14" s="29">
        <f t="shared" si="40"/>
        <v>1415.9099999999999</v>
      </c>
      <c r="CH14" s="28">
        <v>16.45</v>
      </c>
      <c r="CI14" s="28">
        <v>0</v>
      </c>
      <c r="CJ14" s="28">
        <v>100.003</v>
      </c>
      <c r="CK14" s="28">
        <v>63.223999999999691</v>
      </c>
      <c r="CL14" s="29">
        <f t="shared" si="41"/>
        <v>11465.659000000001</v>
      </c>
      <c r="CM14" s="28">
        <v>0</v>
      </c>
      <c r="CN14" s="25">
        <v>8286.3250000000007</v>
      </c>
      <c r="CO14" s="29">
        <f t="shared" si="42"/>
        <v>8286.3250000000007</v>
      </c>
      <c r="CP14" s="28">
        <v>1479.3050000000001</v>
      </c>
      <c r="CQ14" s="28">
        <v>166.24699999999893</v>
      </c>
      <c r="CR14" s="29">
        <f t="shared" si="43"/>
        <v>1645.551999999999</v>
      </c>
      <c r="CS14" s="28">
        <v>230.86600000000001</v>
      </c>
      <c r="CT14" s="28">
        <v>1302.9159999999999</v>
      </c>
      <c r="CU14" s="42">
        <f t="shared" si="44"/>
        <v>11465.659</v>
      </c>
      <c r="CV14" s="28"/>
      <c r="CW14" s="43">
        <v>1253.7</v>
      </c>
      <c r="CX14" s="28"/>
      <c r="CY14" s="24">
        <v>350</v>
      </c>
      <c r="CZ14" s="25">
        <v>250</v>
      </c>
      <c r="DA14" s="25">
        <v>300</v>
      </c>
      <c r="DB14" s="25">
        <v>405</v>
      </c>
      <c r="DC14" s="25">
        <v>400</v>
      </c>
      <c r="DD14" s="25">
        <v>0</v>
      </c>
      <c r="DE14" s="26">
        <f t="shared" si="45"/>
        <v>1705</v>
      </c>
      <c r="DF14" s="34">
        <f t="shared" si="46"/>
        <v>0.14870492834297619</v>
      </c>
      <c r="DG14" s="25"/>
      <c r="DH14" s="44" t="s">
        <v>234</v>
      </c>
      <c r="DI14" s="45">
        <v>79.3</v>
      </c>
      <c r="DJ14" s="46">
        <v>9</v>
      </c>
      <c r="DK14" s="45" t="s">
        <v>168</v>
      </c>
      <c r="DL14" s="47" t="s">
        <v>169</v>
      </c>
      <c r="DM14" s="48" t="s">
        <v>172</v>
      </c>
      <c r="DN14" s="39">
        <v>0.43808800960098337</v>
      </c>
      <c r="DO14" s="66" t="s">
        <v>178</v>
      </c>
      <c r="DP14" s="67" t="s">
        <v>174</v>
      </c>
      <c r="DQ14" s="25"/>
      <c r="DR14" s="24">
        <v>1203.5239999999999</v>
      </c>
      <c r="DS14" s="25">
        <v>1293.5239999999999</v>
      </c>
      <c r="DT14" s="26">
        <v>1433.5239999999999</v>
      </c>
      <c r="DU14" s="25"/>
      <c r="DV14" s="44">
        <f t="shared" si="47"/>
        <v>5217.8055000000004</v>
      </c>
      <c r="DW14" s="25">
        <v>5023.1229999999996</v>
      </c>
      <c r="DX14" s="26">
        <v>5412.4880000000003</v>
      </c>
      <c r="DY14" s="25"/>
      <c r="DZ14" s="24">
        <v>1197.982</v>
      </c>
      <c r="EA14" s="25">
        <v>1313.85</v>
      </c>
      <c r="EB14" s="25">
        <v>1488.6959999999999</v>
      </c>
      <c r="EC14" s="26">
        <v>6587.13</v>
      </c>
      <c r="ED14" s="25"/>
      <c r="EE14" s="24">
        <v>862.87300000000005</v>
      </c>
      <c r="EF14" s="25">
        <v>26.245000000000001</v>
      </c>
      <c r="EG14" s="25">
        <v>264.96800000000002</v>
      </c>
      <c r="EH14" s="25">
        <v>138.19499999999999</v>
      </c>
      <c r="EI14" s="25">
        <v>1678.6020000000001</v>
      </c>
      <c r="EJ14" s="25">
        <v>179.63499999999999</v>
      </c>
      <c r="EK14" s="25">
        <v>39.328000000000003</v>
      </c>
      <c r="EL14" s="25">
        <v>0</v>
      </c>
      <c r="EM14" s="26">
        <v>5869.2340000000004</v>
      </c>
      <c r="EN14" s="26">
        <f t="shared" si="48"/>
        <v>9059.08</v>
      </c>
      <c r="EO14" s="45"/>
      <c r="EP14" s="36">
        <f t="shared" si="49"/>
        <v>9.5249517611059847E-2</v>
      </c>
      <c r="EQ14" s="33">
        <f t="shared" si="50"/>
        <v>2.8970933030727183E-3</v>
      </c>
      <c r="ER14" s="33">
        <f t="shared" si="51"/>
        <v>2.924888620036472E-2</v>
      </c>
      <c r="ES14" s="33">
        <f t="shared" si="52"/>
        <v>1.5254860316941676E-2</v>
      </c>
      <c r="ET14" s="33">
        <f t="shared" si="53"/>
        <v>0.18529497476564952</v>
      </c>
      <c r="EU14" s="33">
        <f t="shared" si="54"/>
        <v>1.9829276262048685E-2</v>
      </c>
      <c r="EV14" s="33">
        <f t="shared" si="55"/>
        <v>4.3412796884451845E-3</v>
      </c>
      <c r="EW14" s="33">
        <f t="shared" si="56"/>
        <v>0</v>
      </c>
      <c r="EX14" s="33">
        <f t="shared" si="57"/>
        <v>0.64788411185241768</v>
      </c>
      <c r="EY14" s="39">
        <f t="shared" si="58"/>
        <v>1</v>
      </c>
      <c r="EZ14" s="45"/>
      <c r="FA14" s="27">
        <v>65.406000000000006</v>
      </c>
      <c r="FB14" s="28">
        <v>110.872</v>
      </c>
      <c r="FC14" s="42">
        <f t="shared" si="59"/>
        <v>176.27800000000002</v>
      </c>
      <c r="FE14" s="27">
        <f>CB14</f>
        <v>26.265999999999998</v>
      </c>
      <c r="FF14" s="28">
        <f>CC14</f>
        <v>13.870000000000001</v>
      </c>
      <c r="FG14" s="42">
        <f t="shared" si="60"/>
        <v>40.135999999999996</v>
      </c>
      <c r="FI14" s="53">
        <v>8558.56</v>
      </c>
      <c r="FJ14" s="54">
        <v>811.62400000000002</v>
      </c>
      <c r="FK14" s="55">
        <v>173.82499999999999</v>
      </c>
      <c r="FL14" s="56">
        <f t="shared" si="61"/>
        <v>9544.009</v>
      </c>
      <c r="FM14" s="57">
        <f t="shared" si="62"/>
        <v>0.89674684925380932</v>
      </c>
      <c r="FN14" s="58">
        <f t="shared" si="63"/>
        <v>8.504015450949387E-2</v>
      </c>
      <c r="FO14" s="59">
        <f t="shared" si="64"/>
        <v>1.8212996236696758E-2</v>
      </c>
      <c r="FP14" s="61">
        <f t="shared" si="65"/>
        <v>1</v>
      </c>
      <c r="FR14" s="24">
        <f>FV14*E14</f>
        <v>6252.5720000000001</v>
      </c>
      <c r="FS14" s="25">
        <f>E14*FW14</f>
        <v>3250.8649999999998</v>
      </c>
      <c r="FT14" s="26">
        <f t="shared" si="66"/>
        <v>9503.4369999999999</v>
      </c>
      <c r="FV14" s="36">
        <v>0.65792744246108015</v>
      </c>
      <c r="FW14" s="33">
        <v>0.34207255753891985</v>
      </c>
      <c r="FX14" s="34">
        <f t="shared" si="67"/>
        <v>1</v>
      </c>
      <c r="FY14" s="45"/>
      <c r="FZ14" s="44">
        <f t="shared" si="68"/>
        <v>1259.3339999999998</v>
      </c>
      <c r="GA14" s="25">
        <v>1215.752</v>
      </c>
      <c r="GB14" s="26">
        <v>1302.9159999999999</v>
      </c>
      <c r="GD14" s="44">
        <f t="shared" si="69"/>
        <v>9053.244999999999</v>
      </c>
      <c r="GE14" s="25">
        <v>8603.0529999999999</v>
      </c>
      <c r="GF14" s="26">
        <v>9503.4369999999999</v>
      </c>
      <c r="GH14" s="44">
        <f t="shared" si="70"/>
        <v>3994.7640000000001</v>
      </c>
      <c r="GI14" s="25">
        <v>3789.5059999999999</v>
      </c>
      <c r="GJ14" s="26">
        <f>F14</f>
        <v>4200.0219999999999</v>
      </c>
      <c r="GL14" s="44">
        <f t="shared" si="71"/>
        <v>13048.008999999998</v>
      </c>
      <c r="GM14" s="45">
        <f t="shared" si="72"/>
        <v>12392.558999999999</v>
      </c>
      <c r="GN14" s="46">
        <f t="shared" si="73"/>
        <v>13703.458999999999</v>
      </c>
      <c r="GP14" s="44">
        <f t="shared" si="74"/>
        <v>7952.1774999999998</v>
      </c>
      <c r="GQ14" s="25">
        <v>7618.03</v>
      </c>
      <c r="GR14" s="26">
        <f>G14</f>
        <v>8286.3250000000007</v>
      </c>
      <c r="GS14" s="25"/>
      <c r="GT14" s="44">
        <f t="shared" si="75"/>
        <v>10972.485499999999</v>
      </c>
      <c r="GU14" s="25">
        <v>10479.312</v>
      </c>
      <c r="GV14" s="26">
        <f>C14</f>
        <v>11465.659</v>
      </c>
      <c r="GW14" s="25"/>
      <c r="GX14" s="61">
        <f>DX14/C14</f>
        <v>0.47206078603942436</v>
      </c>
      <c r="GY14" s="62"/>
    </row>
    <row r="15" spans="1:207" x14ac:dyDescent="0.25">
      <c r="A15" s="1"/>
      <c r="B15" s="23" t="s">
        <v>186</v>
      </c>
      <c r="C15" s="24">
        <v>4868.6009999999997</v>
      </c>
      <c r="D15" s="25">
        <f t="shared" si="0"/>
        <v>4717.5779999999995</v>
      </c>
      <c r="E15" s="25">
        <v>3626.433</v>
      </c>
      <c r="F15" s="25">
        <v>1238.4480000000001</v>
      </c>
      <c r="G15" s="25">
        <v>3651.28</v>
      </c>
      <c r="H15" s="25">
        <f t="shared" si="1"/>
        <v>6107.049</v>
      </c>
      <c r="I15" s="26">
        <f t="shared" si="2"/>
        <v>4864.8810000000003</v>
      </c>
      <c r="J15" s="25"/>
      <c r="K15" s="27">
        <v>61.995999999999995</v>
      </c>
      <c r="L15" s="28">
        <v>19.573999999999998</v>
      </c>
      <c r="M15" s="28">
        <v>1.03</v>
      </c>
      <c r="N15" s="29">
        <f t="shared" si="3"/>
        <v>82.6</v>
      </c>
      <c r="O15" s="28">
        <v>52.046999999999997</v>
      </c>
      <c r="P15" s="29">
        <f t="shared" si="4"/>
        <v>30.552999999999997</v>
      </c>
      <c r="Q15" s="28">
        <v>-1.2679999999999998</v>
      </c>
      <c r="R15" s="29">
        <f t="shared" si="5"/>
        <v>31.820999999999998</v>
      </c>
      <c r="S15" s="28">
        <v>8.4969999999999999</v>
      </c>
      <c r="T15" s="28">
        <v>-1.5649999999999999</v>
      </c>
      <c r="U15" s="28">
        <v>0</v>
      </c>
      <c r="V15" s="29">
        <f t="shared" si="6"/>
        <v>38.753</v>
      </c>
      <c r="W15" s="28">
        <v>7.9830000000000005</v>
      </c>
      <c r="X15" s="30">
        <f t="shared" si="7"/>
        <v>30.77</v>
      </c>
      <c r="Y15" s="28"/>
      <c r="Z15" s="31">
        <f t="shared" si="8"/>
        <v>2.6282978257063265E-2</v>
      </c>
      <c r="AA15" s="32">
        <f t="shared" si="9"/>
        <v>8.2983259630259425E-3</v>
      </c>
      <c r="AB15" s="33">
        <f t="shared" si="10"/>
        <v>0.58132287897064738</v>
      </c>
      <c r="AC15" s="33">
        <f t="shared" si="11"/>
        <v>0.57133604838798202</v>
      </c>
      <c r="AD15" s="33">
        <f t="shared" si="12"/>
        <v>0.6301089588377724</v>
      </c>
      <c r="AE15" s="32">
        <f t="shared" si="13"/>
        <v>2.2065135965955412E-2</v>
      </c>
      <c r="AF15" s="32">
        <f t="shared" si="14"/>
        <v>1.3044829359472172E-2</v>
      </c>
      <c r="AG15" s="32">
        <f>X15/DV15*2</f>
        <v>3.0780396078775606E-2</v>
      </c>
      <c r="AH15" s="32">
        <f>(P15+S15+T15)/DV15*2</f>
        <v>3.7497664836298461E-2</v>
      </c>
      <c r="AI15" s="32">
        <f>R15/DV15*2</f>
        <v>3.1831751173959005E-2</v>
      </c>
      <c r="AJ15" s="34">
        <f>X15/FZ15*2</f>
        <v>0.10508162010791611</v>
      </c>
      <c r="AK15" s="35"/>
      <c r="AL15" s="36">
        <f t="shared" si="15"/>
        <v>1.7645881874568392E-2</v>
      </c>
      <c r="AM15" s="33">
        <f t="shared" si="16"/>
        <v>1.5505997372353171E-2</v>
      </c>
      <c r="AN15" s="34">
        <f t="shared" si="17"/>
        <v>7.082285736742068E-2</v>
      </c>
      <c r="AO15" s="28"/>
      <c r="AP15" s="36">
        <f t="shared" si="18"/>
        <v>1.0068516363048758</v>
      </c>
      <c r="AQ15" s="33">
        <f t="shared" si="19"/>
        <v>0.86524186406815429</v>
      </c>
      <c r="AR15" s="33">
        <f t="shared" si="20"/>
        <v>-7.2813114075275437E-2</v>
      </c>
      <c r="AS15" s="33">
        <f t="shared" si="21"/>
        <v>0.22126109738711389</v>
      </c>
      <c r="AT15" s="33">
        <f t="shared" si="22"/>
        <v>0.18961730484794301</v>
      </c>
      <c r="AU15" s="37">
        <v>2.952</v>
      </c>
      <c r="AV15" s="38">
        <v>1.4330000000000001</v>
      </c>
      <c r="AW15" s="28"/>
      <c r="AX15" s="36">
        <f>GB15/C15</f>
        <v>0.125744541399059</v>
      </c>
      <c r="AY15" s="33">
        <v>0.11899999999999999</v>
      </c>
      <c r="AZ15" s="33">
        <f t="shared" si="23"/>
        <v>0.29603961624092234</v>
      </c>
      <c r="BA15" s="33">
        <f t="shared" si="24"/>
        <v>0.31671183546567278</v>
      </c>
      <c r="BB15" s="34">
        <f t="shared" si="25"/>
        <v>0.35288821910898605</v>
      </c>
      <c r="BC15" s="33"/>
      <c r="BD15" s="36">
        <f t="shared" si="26"/>
        <v>0.23042430805120617</v>
      </c>
      <c r="BE15" s="33">
        <f t="shared" si="27"/>
        <v>0.24977582042054919</v>
      </c>
      <c r="BF15" s="34">
        <f t="shared" si="28"/>
        <v>0.28235120269669561</v>
      </c>
      <c r="BG15" s="25"/>
      <c r="BH15" s="39">
        <v>2.1000000000000001E-2</v>
      </c>
      <c r="BI15" s="36">
        <f t="shared" si="29"/>
        <v>1.18125E-2</v>
      </c>
      <c r="BJ15" s="34">
        <f t="shared" si="30"/>
        <v>1.575E-2</v>
      </c>
      <c r="BK15" s="39">
        <v>1.4999999999999999E-2</v>
      </c>
      <c r="BL15" s="33"/>
      <c r="BM15" s="39">
        <f t="shared" si="31"/>
        <v>7.8611808051206156E-2</v>
      </c>
      <c r="BN15" s="34">
        <f t="shared" si="32"/>
        <v>7.9025820420549175E-2</v>
      </c>
      <c r="BO15" s="34">
        <f t="shared" si="33"/>
        <v>8.6351202696695606E-2</v>
      </c>
      <c r="BP15" s="28"/>
      <c r="BQ15" s="31">
        <f>Q15/GD15*2</f>
        <v>-7.0542577007125457E-4</v>
      </c>
      <c r="BR15" s="33">
        <f t="shared" si="34"/>
        <v>-3.3826864078964916E-2</v>
      </c>
      <c r="BS15" s="32">
        <f>FC15/E15</f>
        <v>1.1184544151236216E-2</v>
      </c>
      <c r="BT15" s="33">
        <f t="shared" si="35"/>
        <v>6.5116876444901106E-2</v>
      </c>
      <c r="BU15" s="33">
        <f t="shared" si="36"/>
        <v>0.84145522611337376</v>
      </c>
      <c r="BV15" s="34">
        <f t="shared" si="37"/>
        <v>0.88181581419977173</v>
      </c>
      <c r="BW15" s="28"/>
      <c r="BX15" s="27">
        <v>39.058999999999997</v>
      </c>
      <c r="BY15" s="28">
        <v>223.51300000000001</v>
      </c>
      <c r="BZ15" s="29">
        <f t="shared" si="38"/>
        <v>262.572</v>
      </c>
      <c r="CA15" s="25">
        <v>3626.433</v>
      </c>
      <c r="CB15" s="28">
        <v>5</v>
      </c>
      <c r="CC15" s="28">
        <v>5.68</v>
      </c>
      <c r="CD15" s="29">
        <f t="shared" si="39"/>
        <v>3615.7530000000002</v>
      </c>
      <c r="CE15" s="28">
        <v>660.59900000000005</v>
      </c>
      <c r="CF15" s="28">
        <v>282.73599999999999</v>
      </c>
      <c r="CG15" s="29">
        <f t="shared" si="40"/>
        <v>943.33500000000004</v>
      </c>
      <c r="CH15" s="28">
        <v>0</v>
      </c>
      <c r="CI15" s="28">
        <v>0</v>
      </c>
      <c r="CJ15" s="28">
        <v>43.381</v>
      </c>
      <c r="CK15" s="28">
        <v>3.5599999999993486</v>
      </c>
      <c r="CL15" s="29">
        <f t="shared" si="41"/>
        <v>4868.6009999999997</v>
      </c>
      <c r="CM15" s="28">
        <v>4.2960000000000003</v>
      </c>
      <c r="CN15" s="25">
        <v>3651.28</v>
      </c>
      <c r="CO15" s="29">
        <f t="shared" si="42"/>
        <v>3655.576</v>
      </c>
      <c r="CP15" s="28">
        <v>453.71199999999999</v>
      </c>
      <c r="CQ15" s="28">
        <v>36.447999999999638</v>
      </c>
      <c r="CR15" s="29">
        <f t="shared" si="43"/>
        <v>490.15999999999963</v>
      </c>
      <c r="CS15" s="28">
        <v>110.66500000000001</v>
      </c>
      <c r="CT15" s="28">
        <v>612.20000000000005</v>
      </c>
      <c r="CU15" s="42">
        <f t="shared" si="44"/>
        <v>4868.6009999999997</v>
      </c>
      <c r="CV15" s="28"/>
      <c r="CW15" s="43">
        <v>923.17100000000005</v>
      </c>
      <c r="CX15" s="28"/>
      <c r="CY15" s="24">
        <v>50</v>
      </c>
      <c r="CZ15" s="25">
        <v>200</v>
      </c>
      <c r="DA15" s="25">
        <v>200</v>
      </c>
      <c r="DB15" s="25">
        <v>40</v>
      </c>
      <c r="DC15" s="25">
        <v>70</v>
      </c>
      <c r="DD15" s="25">
        <v>0</v>
      </c>
      <c r="DE15" s="26">
        <f t="shared" si="45"/>
        <v>560</v>
      </c>
      <c r="DF15" s="34">
        <f t="shared" si="46"/>
        <v>0.11502277553654532</v>
      </c>
      <c r="DG15" s="25"/>
      <c r="DH15" s="44" t="s">
        <v>229</v>
      </c>
      <c r="DI15" s="45">
        <v>35.799999999999997</v>
      </c>
      <c r="DJ15" s="46">
        <v>3</v>
      </c>
      <c r="DK15" s="45" t="s">
        <v>168</v>
      </c>
      <c r="DL15" s="47" t="s">
        <v>169</v>
      </c>
      <c r="DM15" s="45"/>
      <c r="DN15" s="39" t="s">
        <v>224</v>
      </c>
      <c r="DO15" s="66" t="s">
        <v>178</v>
      </c>
      <c r="DP15" s="67" t="s">
        <v>179</v>
      </c>
      <c r="DQ15" s="25"/>
      <c r="DR15" s="24">
        <v>572.82600000000002</v>
      </c>
      <c r="DS15" s="25">
        <v>612.82600000000002</v>
      </c>
      <c r="DT15" s="26">
        <v>682.82600000000002</v>
      </c>
      <c r="DU15" s="25"/>
      <c r="DV15" s="44">
        <f t="shared" si="47"/>
        <v>1999.3244999999999</v>
      </c>
      <c r="DW15" s="25">
        <v>2063.6849999999999</v>
      </c>
      <c r="DX15" s="26">
        <v>1934.9639999999999</v>
      </c>
      <c r="DY15" s="25"/>
      <c r="DZ15" s="24">
        <v>570.71699999999998</v>
      </c>
      <c r="EA15" s="25">
        <v>618.64700000000005</v>
      </c>
      <c r="EB15" s="25">
        <v>699.33</v>
      </c>
      <c r="EC15" s="26">
        <v>2476.8090000000002</v>
      </c>
      <c r="ED15" s="25"/>
      <c r="EE15" s="24">
        <v>259.63499999999999</v>
      </c>
      <c r="EF15" s="25">
        <v>4.7539999999999996</v>
      </c>
      <c r="EG15" s="25">
        <v>23.321999999999999</v>
      </c>
      <c r="EH15" s="25">
        <v>8.7460000000000004</v>
      </c>
      <c r="EI15" s="25">
        <v>78.093999999999994</v>
      </c>
      <c r="EJ15" s="25">
        <v>36.869</v>
      </c>
      <c r="EK15" s="25">
        <v>3.8040000000000003</v>
      </c>
      <c r="EL15" s="25">
        <v>22.088999999999487</v>
      </c>
      <c r="EM15" s="26">
        <v>3239.9949999999999</v>
      </c>
      <c r="EN15" s="26">
        <f t="shared" si="48"/>
        <v>3677.3079999999995</v>
      </c>
      <c r="EO15" s="45"/>
      <c r="EP15" s="36">
        <f t="shared" si="49"/>
        <v>7.0604637957984495E-2</v>
      </c>
      <c r="EQ15" s="33">
        <f t="shared" si="50"/>
        <v>1.2927935326603047E-3</v>
      </c>
      <c r="ER15" s="33">
        <f t="shared" si="51"/>
        <v>6.3421394128530982E-3</v>
      </c>
      <c r="ES15" s="33">
        <f t="shared" si="52"/>
        <v>2.3783702643346712E-3</v>
      </c>
      <c r="ET15" s="33">
        <f t="shared" si="53"/>
        <v>2.1236730782409306E-2</v>
      </c>
      <c r="EU15" s="33">
        <f t="shared" si="54"/>
        <v>1.0026084298622798E-2</v>
      </c>
      <c r="EV15" s="33">
        <f t="shared" si="55"/>
        <v>1.0344523765754734E-3</v>
      </c>
      <c r="EW15" s="33">
        <f t="shared" si="56"/>
        <v>6.0068397860607511E-3</v>
      </c>
      <c r="EX15" s="33">
        <f t="shared" si="57"/>
        <v>0.88107795158849911</v>
      </c>
      <c r="EY15" s="39">
        <f t="shared" si="58"/>
        <v>1</v>
      </c>
      <c r="EZ15" s="45"/>
      <c r="FA15" s="27">
        <v>28.678999999999998</v>
      </c>
      <c r="FB15" s="28">
        <v>11.881</v>
      </c>
      <c r="FC15" s="42">
        <f t="shared" si="59"/>
        <v>40.56</v>
      </c>
      <c r="FE15" s="27">
        <f>CB15</f>
        <v>5</v>
      </c>
      <c r="FF15" s="28">
        <f>CC15</f>
        <v>5.68</v>
      </c>
      <c r="FG15" s="42">
        <f t="shared" si="60"/>
        <v>10.68</v>
      </c>
      <c r="FI15" s="53">
        <v>3283.5219999999999</v>
      </c>
      <c r="FJ15" s="54">
        <v>301.05799999999999</v>
      </c>
      <c r="FK15" s="55">
        <v>41.853000000000002</v>
      </c>
      <c r="FL15" s="56">
        <f t="shared" si="61"/>
        <v>3626.433</v>
      </c>
      <c r="FM15" s="57">
        <f t="shared" si="62"/>
        <v>0.90544124212414789</v>
      </c>
      <c r="FN15" s="58">
        <f t="shared" si="63"/>
        <v>8.3017665016836106E-2</v>
      </c>
      <c r="FO15" s="59">
        <f t="shared" si="64"/>
        <v>1.1541092859016009E-2</v>
      </c>
      <c r="FP15" s="61">
        <f t="shared" si="65"/>
        <v>1</v>
      </c>
      <c r="FR15" s="24">
        <f>FV15*E15</f>
        <v>3051.4810000000002</v>
      </c>
      <c r="FS15" s="25">
        <f>E15*FW15</f>
        <v>574.95199999999966</v>
      </c>
      <c r="FT15" s="26">
        <f t="shared" si="66"/>
        <v>3626.433</v>
      </c>
      <c r="FV15" s="36">
        <v>0.84145522611337376</v>
      </c>
      <c r="FW15" s="33">
        <v>0.15854477388662624</v>
      </c>
      <c r="FX15" s="34">
        <f t="shared" si="67"/>
        <v>1</v>
      </c>
      <c r="FY15" s="45"/>
      <c r="FZ15" s="44">
        <f t="shared" si="68"/>
        <v>585.6400000000001</v>
      </c>
      <c r="GA15" s="25">
        <v>559.08000000000004</v>
      </c>
      <c r="GB15" s="26">
        <v>612.20000000000005</v>
      </c>
      <c r="GD15" s="44">
        <f t="shared" si="69"/>
        <v>3594.9920000000002</v>
      </c>
      <c r="GE15" s="25">
        <v>3563.5509999999999</v>
      </c>
      <c r="GF15" s="26">
        <v>3626.433</v>
      </c>
      <c r="GH15" s="44">
        <f t="shared" si="70"/>
        <v>1232.7474999999999</v>
      </c>
      <c r="GI15" s="25">
        <v>1227.047</v>
      </c>
      <c r="GJ15" s="26">
        <f>F15</f>
        <v>1238.4480000000001</v>
      </c>
      <c r="GL15" s="44">
        <f t="shared" si="71"/>
        <v>4827.7394999999997</v>
      </c>
      <c r="GM15" s="45">
        <f t="shared" si="72"/>
        <v>4790.598</v>
      </c>
      <c r="GN15" s="46">
        <f t="shared" si="73"/>
        <v>4864.8810000000003</v>
      </c>
      <c r="GP15" s="44">
        <f t="shared" si="74"/>
        <v>3530.5345000000002</v>
      </c>
      <c r="GQ15" s="25">
        <v>3409.7890000000002</v>
      </c>
      <c r="GR15" s="26">
        <f>G15</f>
        <v>3651.28</v>
      </c>
      <c r="GS15" s="25"/>
      <c r="GT15" s="44">
        <f t="shared" si="75"/>
        <v>4717.5779999999995</v>
      </c>
      <c r="GU15" s="25">
        <v>4566.5550000000003</v>
      </c>
      <c r="GV15" s="26">
        <f>C15</f>
        <v>4868.6009999999997</v>
      </c>
      <c r="GW15" s="25"/>
      <c r="GX15" s="61">
        <f>DX15/C15</f>
        <v>0.39743737472017115</v>
      </c>
      <c r="GY15" s="62"/>
    </row>
    <row r="16" spans="1:207" x14ac:dyDescent="0.25">
      <c r="A16" s="1"/>
      <c r="B16" s="23" t="s">
        <v>187</v>
      </c>
      <c r="C16" s="24">
        <v>2172.8530000000001</v>
      </c>
      <c r="D16" s="25">
        <f t="shared" si="0"/>
        <v>2137.4674999999997</v>
      </c>
      <c r="E16" s="25">
        <v>1593.396</v>
      </c>
      <c r="F16" s="25">
        <v>491.589</v>
      </c>
      <c r="G16" s="25">
        <v>1446.654</v>
      </c>
      <c r="H16" s="25">
        <f t="shared" si="1"/>
        <v>2664.442</v>
      </c>
      <c r="I16" s="26">
        <f t="shared" si="2"/>
        <v>2084.9850000000001</v>
      </c>
      <c r="J16" s="25"/>
      <c r="K16" s="27">
        <v>28.619</v>
      </c>
      <c r="L16" s="28">
        <v>5.66</v>
      </c>
      <c r="M16" s="28">
        <v>4.2999999999999997E-2</v>
      </c>
      <c r="N16" s="29">
        <f t="shared" si="3"/>
        <v>34.321999999999996</v>
      </c>
      <c r="O16" s="28">
        <v>16.294</v>
      </c>
      <c r="P16" s="29">
        <f t="shared" si="4"/>
        <v>18.027999999999995</v>
      </c>
      <c r="Q16" s="28">
        <v>1.4589999999999999</v>
      </c>
      <c r="R16" s="29">
        <f t="shared" si="5"/>
        <v>16.568999999999996</v>
      </c>
      <c r="S16" s="28">
        <v>2.8420000000000001</v>
      </c>
      <c r="T16" s="28">
        <v>-0.78700000000000003</v>
      </c>
      <c r="U16" s="28">
        <v>0</v>
      </c>
      <c r="V16" s="29">
        <f t="shared" si="6"/>
        <v>18.623999999999995</v>
      </c>
      <c r="W16" s="28">
        <v>3.9459999999999997</v>
      </c>
      <c r="X16" s="30">
        <f t="shared" si="7"/>
        <v>14.677999999999995</v>
      </c>
      <c r="Y16" s="28"/>
      <c r="Z16" s="31">
        <f t="shared" si="8"/>
        <v>2.6778418853152155E-2</v>
      </c>
      <c r="AA16" s="32">
        <f t="shared" si="9"/>
        <v>5.2959869565268256E-3</v>
      </c>
      <c r="AB16" s="33">
        <f t="shared" si="10"/>
        <v>0.44792038925694816</v>
      </c>
      <c r="AC16" s="33">
        <f t="shared" si="11"/>
        <v>0.43843504466688199</v>
      </c>
      <c r="AD16" s="33">
        <f t="shared" si="12"/>
        <v>0.47473923431035497</v>
      </c>
      <c r="AE16" s="32">
        <f t="shared" si="13"/>
        <v>1.5246079764955492E-2</v>
      </c>
      <c r="AF16" s="32">
        <f t="shared" si="14"/>
        <v>1.3734009990795179E-2</v>
      </c>
      <c r="AG16" s="32">
        <f>X16/DV16*2</f>
        <v>3.1196831432327331E-2</v>
      </c>
      <c r="AH16" s="32">
        <f>(P16+S16+T16)/DV16*2</f>
        <v>4.2684695847896845E-2</v>
      </c>
      <c r="AI16" s="32">
        <f>R16/DV16*2</f>
        <v>3.5215989917034445E-2</v>
      </c>
      <c r="AJ16" s="34">
        <f>X16/FZ16*2</f>
        <v>0.11597340465458048</v>
      </c>
      <c r="AK16" s="35"/>
      <c r="AL16" s="36">
        <f t="shared" si="15"/>
        <v>-7.4580984184945531E-3</v>
      </c>
      <c r="AM16" s="33">
        <f t="shared" si="16"/>
        <v>1.003747096424141E-2</v>
      </c>
      <c r="AN16" s="34">
        <f t="shared" si="17"/>
        <v>4.9650093417257769E-2</v>
      </c>
      <c r="AO16" s="28"/>
      <c r="AP16" s="36">
        <f t="shared" si="18"/>
        <v>0.90790613256215025</v>
      </c>
      <c r="AQ16" s="33">
        <f t="shared" si="19"/>
        <v>0.76183790615619573</v>
      </c>
      <c r="AR16" s="33">
        <f t="shared" si="20"/>
        <v>-8.8330871899755421E-3</v>
      </c>
      <c r="AS16" s="33">
        <f t="shared" si="21"/>
        <v>0.302800281473252</v>
      </c>
      <c r="AT16" s="33">
        <f t="shared" si="22"/>
        <v>0.21696773780831005</v>
      </c>
      <c r="AU16" s="37">
        <v>4.01</v>
      </c>
      <c r="AV16" s="38">
        <v>1.41</v>
      </c>
      <c r="AW16" s="28"/>
      <c r="AX16" s="36">
        <f>GB16/C16</f>
        <v>0.12173073834263062</v>
      </c>
      <c r="AY16" s="33">
        <v>0.1129</v>
      </c>
      <c r="AZ16" s="33">
        <f t="shared" si="23"/>
        <v>0.26565428159053656</v>
      </c>
      <c r="BA16" s="33">
        <f t="shared" si="24"/>
        <v>0.28740729139135512</v>
      </c>
      <c r="BB16" s="34">
        <f t="shared" si="25"/>
        <v>0.30916030119217369</v>
      </c>
      <c r="BC16" s="33"/>
      <c r="BD16" s="36">
        <f t="shared" si="26"/>
        <v>0.23320105401389557</v>
      </c>
      <c r="BE16" s="33">
        <f t="shared" si="27"/>
        <v>0.25505064312305814</v>
      </c>
      <c r="BF16" s="34">
        <f t="shared" si="28"/>
        <v>0.27782494045512146</v>
      </c>
      <c r="BG16" s="25"/>
      <c r="BH16" s="39">
        <v>2.5000000000000001E-2</v>
      </c>
      <c r="BI16" s="36">
        <f t="shared" si="29"/>
        <v>1.40625E-2</v>
      </c>
      <c r="BJ16" s="34">
        <f t="shared" si="30"/>
        <v>1.8750000000000003E-2</v>
      </c>
      <c r="BK16" s="39">
        <v>0.01</v>
      </c>
      <c r="BL16" s="33"/>
      <c r="BM16" s="39">
        <f t="shared" si="31"/>
        <v>7.9138554013895551E-2</v>
      </c>
      <c r="BN16" s="34">
        <f t="shared" si="32"/>
        <v>8.1300643123058125E-2</v>
      </c>
      <c r="BO16" s="34">
        <f t="shared" si="33"/>
        <v>7.782494045512145E-2</v>
      </c>
      <c r="BP16" s="28"/>
      <c r="BQ16" s="31">
        <f>Q16/GD16*2</f>
        <v>1.8244541252639688E-3</v>
      </c>
      <c r="BR16" s="33">
        <f t="shared" si="34"/>
        <v>7.2648508688940905E-2</v>
      </c>
      <c r="BS16" s="32">
        <f>FC16/E16</f>
        <v>1.3966396300731267E-2</v>
      </c>
      <c r="BT16" s="33">
        <f t="shared" si="35"/>
        <v>8.0904513478632312E-2</v>
      </c>
      <c r="BU16" s="33">
        <f t="shared" si="36"/>
        <v>0.85914612563355253</v>
      </c>
      <c r="BV16" s="34">
        <f t="shared" si="37"/>
        <v>0.89235606011554036</v>
      </c>
      <c r="BW16" s="28"/>
      <c r="BX16" s="27">
        <v>63.244</v>
      </c>
      <c r="BY16" s="28">
        <v>190.88200000000001</v>
      </c>
      <c r="BZ16" s="29">
        <f t="shared" si="38"/>
        <v>254.126</v>
      </c>
      <c r="CA16" s="25">
        <v>1593.396</v>
      </c>
      <c r="CB16" s="28">
        <v>7.7069999999999999</v>
      </c>
      <c r="CC16" s="28">
        <v>2.855</v>
      </c>
      <c r="CD16" s="29">
        <f t="shared" si="39"/>
        <v>1582.8339999999998</v>
      </c>
      <c r="CE16" s="28">
        <v>217.31299999999999</v>
      </c>
      <c r="CF16" s="28">
        <v>113.86</v>
      </c>
      <c r="CG16" s="29">
        <f t="shared" si="40"/>
        <v>331.173</v>
      </c>
      <c r="CH16" s="28">
        <v>0</v>
      </c>
      <c r="CI16" s="28">
        <v>0</v>
      </c>
      <c r="CJ16" s="28">
        <v>2.806</v>
      </c>
      <c r="CK16" s="28">
        <v>1.9140000000002546</v>
      </c>
      <c r="CL16" s="29">
        <f t="shared" si="41"/>
        <v>2172.8530000000001</v>
      </c>
      <c r="CM16" s="28">
        <v>2.9000000000000001E-2</v>
      </c>
      <c r="CN16" s="25">
        <v>1446.654</v>
      </c>
      <c r="CO16" s="29">
        <f t="shared" si="42"/>
        <v>1446.683</v>
      </c>
      <c r="CP16" s="28">
        <v>412.11700000000002</v>
      </c>
      <c r="CQ16" s="28">
        <v>9.4500000000000455</v>
      </c>
      <c r="CR16" s="29">
        <f t="shared" si="43"/>
        <v>421.56700000000006</v>
      </c>
      <c r="CS16" s="28">
        <v>40.1</v>
      </c>
      <c r="CT16" s="28">
        <v>264.50299999999999</v>
      </c>
      <c r="CU16" s="42">
        <f t="shared" si="44"/>
        <v>2172.8530000000001</v>
      </c>
      <c r="CV16" s="28"/>
      <c r="CW16" s="43">
        <v>471.43899999999996</v>
      </c>
      <c r="CX16" s="28"/>
      <c r="CY16" s="24">
        <v>90</v>
      </c>
      <c r="CZ16" s="25">
        <v>140</v>
      </c>
      <c r="DA16" s="25">
        <v>100</v>
      </c>
      <c r="DB16" s="25">
        <v>120</v>
      </c>
      <c r="DC16" s="25">
        <v>0</v>
      </c>
      <c r="DD16" s="25">
        <v>0</v>
      </c>
      <c r="DE16" s="26">
        <f t="shared" si="45"/>
        <v>450</v>
      </c>
      <c r="DF16" s="34">
        <f t="shared" si="46"/>
        <v>0.20710098658307763</v>
      </c>
      <c r="DG16" s="25"/>
      <c r="DH16" s="44" t="s">
        <v>232</v>
      </c>
      <c r="DI16" s="45">
        <v>14.9</v>
      </c>
      <c r="DJ16" s="46">
        <v>4</v>
      </c>
      <c r="DK16" s="45" t="s">
        <v>168</v>
      </c>
      <c r="DL16" s="47" t="s">
        <v>169</v>
      </c>
      <c r="DM16" s="48" t="s">
        <v>170</v>
      </c>
      <c r="DN16" s="39">
        <v>0.15081678042794691</v>
      </c>
      <c r="DO16" s="36"/>
      <c r="DP16" s="34"/>
      <c r="DQ16" s="25"/>
      <c r="DR16" s="24">
        <v>244.24599999999998</v>
      </c>
      <c r="DS16" s="25">
        <v>264.24599999999998</v>
      </c>
      <c r="DT16" s="26">
        <v>284.24599999999998</v>
      </c>
      <c r="DU16" s="25"/>
      <c r="DV16" s="44">
        <f t="shared" si="47"/>
        <v>940.99299999999994</v>
      </c>
      <c r="DW16" s="25">
        <v>962.57299999999998</v>
      </c>
      <c r="DX16" s="26">
        <v>919.41300000000001</v>
      </c>
      <c r="DY16" s="25"/>
      <c r="DZ16" s="24">
        <v>243.11</v>
      </c>
      <c r="EA16" s="25">
        <v>265.88799999999998</v>
      </c>
      <c r="EB16" s="25">
        <v>289.63</v>
      </c>
      <c r="EC16" s="26">
        <v>1042.491</v>
      </c>
      <c r="ED16" s="25"/>
      <c r="EE16" s="24">
        <v>28.768999999999998</v>
      </c>
      <c r="EF16" s="25">
        <v>12.199</v>
      </c>
      <c r="EG16" s="25">
        <v>20.207999999999998</v>
      </c>
      <c r="EH16" s="25">
        <v>21.689</v>
      </c>
      <c r="EI16" s="25">
        <v>102.164</v>
      </c>
      <c r="EJ16" s="25">
        <v>37.5</v>
      </c>
      <c r="EK16" s="25">
        <v>13.042999999999999</v>
      </c>
      <c r="EL16" s="25">
        <v>0</v>
      </c>
      <c r="EM16" s="26">
        <v>1405.546</v>
      </c>
      <c r="EN16" s="26">
        <f t="shared" si="48"/>
        <v>1641.1179999999999</v>
      </c>
      <c r="EO16" s="45"/>
      <c r="EP16" s="36">
        <f t="shared" si="49"/>
        <v>1.753012275777854E-2</v>
      </c>
      <c r="EQ16" s="33">
        <f t="shared" si="50"/>
        <v>7.4333472669241337E-3</v>
      </c>
      <c r="ER16" s="33">
        <f t="shared" si="51"/>
        <v>1.2313556977621353E-2</v>
      </c>
      <c r="ES16" s="33">
        <f t="shared" si="52"/>
        <v>1.3215990562531152E-2</v>
      </c>
      <c r="ET16" s="33">
        <f t="shared" si="53"/>
        <v>6.2252683841137572E-2</v>
      </c>
      <c r="EU16" s="33">
        <f t="shared" si="54"/>
        <v>2.2850276457878106E-2</v>
      </c>
      <c r="EV16" s="33">
        <f t="shared" si="55"/>
        <v>7.9476308224027768E-3</v>
      </c>
      <c r="EW16" s="33">
        <f t="shared" si="56"/>
        <v>0</v>
      </c>
      <c r="EX16" s="33">
        <f t="shared" si="57"/>
        <v>0.85645639131372642</v>
      </c>
      <c r="EY16" s="39">
        <f t="shared" si="58"/>
        <v>1</v>
      </c>
      <c r="EZ16" s="45"/>
      <c r="FA16" s="27">
        <v>18.838999999999999</v>
      </c>
      <c r="FB16" s="28">
        <v>3.415</v>
      </c>
      <c r="FC16" s="42">
        <f t="shared" si="59"/>
        <v>22.253999999999998</v>
      </c>
      <c r="FE16" s="27">
        <f>CB16</f>
        <v>7.7069999999999999</v>
      </c>
      <c r="FF16" s="28">
        <f>CC16</f>
        <v>2.855</v>
      </c>
      <c r="FG16" s="42">
        <f t="shared" si="60"/>
        <v>10.561999999999999</v>
      </c>
      <c r="FI16" s="53">
        <v>1427.9939999999999</v>
      </c>
      <c r="FJ16" s="54">
        <v>143.08199999999999</v>
      </c>
      <c r="FK16" s="55">
        <v>22.318000000000001</v>
      </c>
      <c r="FL16" s="56">
        <f t="shared" si="61"/>
        <v>1593.394</v>
      </c>
      <c r="FM16" s="57">
        <f t="shared" si="62"/>
        <v>0.8961964209730926</v>
      </c>
      <c r="FN16" s="58">
        <f t="shared" si="63"/>
        <v>8.9796999361112184E-2</v>
      </c>
      <c r="FO16" s="59">
        <f t="shared" si="64"/>
        <v>1.4006579665795153E-2</v>
      </c>
      <c r="FP16" s="61">
        <f t="shared" si="65"/>
        <v>0.99999999999999989</v>
      </c>
      <c r="FR16" s="24">
        <f>FV16*E16</f>
        <v>1368.96</v>
      </c>
      <c r="FS16" s="25">
        <f>E16*FW16</f>
        <v>224.43599999999992</v>
      </c>
      <c r="FT16" s="26">
        <f t="shared" si="66"/>
        <v>1593.396</v>
      </c>
      <c r="FV16" s="36">
        <v>0.85914612563355253</v>
      </c>
      <c r="FW16" s="33">
        <v>0.14085387436644747</v>
      </c>
      <c r="FX16" s="34">
        <f t="shared" si="67"/>
        <v>1</v>
      </c>
      <c r="FY16" s="45"/>
      <c r="FZ16" s="44">
        <f t="shared" si="68"/>
        <v>253.12699999999998</v>
      </c>
      <c r="GA16" s="25">
        <v>241.75099999999998</v>
      </c>
      <c r="GB16" s="26">
        <v>264.50299999999999</v>
      </c>
      <c r="GD16" s="44">
        <f t="shared" si="69"/>
        <v>1599.3825000000002</v>
      </c>
      <c r="GE16" s="25">
        <v>1605.3690000000001</v>
      </c>
      <c r="GF16" s="26">
        <v>1593.396</v>
      </c>
      <c r="GH16" s="44">
        <f t="shared" si="70"/>
        <v>475.24250000000001</v>
      </c>
      <c r="GI16" s="25">
        <v>458.89600000000002</v>
      </c>
      <c r="GJ16" s="26">
        <f>F16</f>
        <v>491.589</v>
      </c>
      <c r="GL16" s="44">
        <f t="shared" si="71"/>
        <v>2074.625</v>
      </c>
      <c r="GM16" s="45">
        <f t="shared" si="72"/>
        <v>2064.2650000000003</v>
      </c>
      <c r="GN16" s="46">
        <f t="shared" si="73"/>
        <v>2084.9850000000001</v>
      </c>
      <c r="GP16" s="44">
        <f t="shared" si="74"/>
        <v>1412.4395</v>
      </c>
      <c r="GQ16" s="25">
        <v>1378.2249999999999</v>
      </c>
      <c r="GR16" s="26">
        <f>G16</f>
        <v>1446.654</v>
      </c>
      <c r="GS16" s="25"/>
      <c r="GT16" s="44">
        <f t="shared" si="75"/>
        <v>2137.4674999999997</v>
      </c>
      <c r="GU16" s="25">
        <v>2102.0819999999999</v>
      </c>
      <c r="GV16" s="26">
        <f>C16</f>
        <v>2172.8530000000001</v>
      </c>
      <c r="GW16" s="25"/>
      <c r="GX16" s="61">
        <f>DX16/C16</f>
        <v>0.42313630972734922</v>
      </c>
      <c r="GY16" s="62"/>
    </row>
    <row r="17" spans="1:207" x14ac:dyDescent="0.25">
      <c r="A17" s="1"/>
      <c r="B17" s="23" t="s">
        <v>188</v>
      </c>
      <c r="C17" s="24">
        <v>20655.222999999998</v>
      </c>
      <c r="D17" s="25">
        <f t="shared" si="0"/>
        <v>19928.1535</v>
      </c>
      <c r="E17" s="25">
        <v>16136.614</v>
      </c>
      <c r="F17" s="25">
        <v>4331.66</v>
      </c>
      <c r="G17" s="25">
        <v>12886.153</v>
      </c>
      <c r="H17" s="25">
        <f t="shared" si="1"/>
        <v>24986.882999999998</v>
      </c>
      <c r="I17" s="26">
        <f t="shared" si="2"/>
        <v>20468.273999999998</v>
      </c>
      <c r="J17" s="25"/>
      <c r="K17" s="27">
        <v>216.36900000000003</v>
      </c>
      <c r="L17" s="28">
        <v>31.436</v>
      </c>
      <c r="M17" s="28">
        <v>0.33600000000000002</v>
      </c>
      <c r="N17" s="29">
        <f t="shared" si="3"/>
        <v>248.14100000000005</v>
      </c>
      <c r="O17" s="28">
        <v>107.67599999999999</v>
      </c>
      <c r="P17" s="29">
        <f t="shared" si="4"/>
        <v>140.46500000000006</v>
      </c>
      <c r="Q17" s="28">
        <v>62.708999999999996</v>
      </c>
      <c r="R17" s="29">
        <f t="shared" si="5"/>
        <v>77.756000000000057</v>
      </c>
      <c r="S17" s="28">
        <v>38.819000000000003</v>
      </c>
      <c r="T17" s="28">
        <v>4.4279999999999999</v>
      </c>
      <c r="U17" s="28">
        <v>-10</v>
      </c>
      <c r="V17" s="29">
        <f t="shared" si="6"/>
        <v>111.00300000000006</v>
      </c>
      <c r="W17" s="28">
        <v>17.652000000000001</v>
      </c>
      <c r="X17" s="30">
        <f t="shared" si="7"/>
        <v>93.351000000000056</v>
      </c>
      <c r="Y17" s="28"/>
      <c r="Z17" s="31">
        <f t="shared" si="8"/>
        <v>2.1714907003300636E-2</v>
      </c>
      <c r="AA17" s="32">
        <f t="shared" si="9"/>
        <v>3.1549335466529802E-3</v>
      </c>
      <c r="AB17" s="33">
        <f t="shared" si="10"/>
        <v>0.36952791467047363</v>
      </c>
      <c r="AC17" s="33">
        <f t="shared" si="11"/>
        <v>0.37522999721215489</v>
      </c>
      <c r="AD17" s="33">
        <f t="shared" si="12"/>
        <v>0.43393070875026685</v>
      </c>
      <c r="AE17" s="32">
        <f t="shared" si="13"/>
        <v>1.0806420173349224E-2</v>
      </c>
      <c r="AF17" s="32">
        <f t="shared" si="14"/>
        <v>9.3687556150147139E-3</v>
      </c>
      <c r="AG17" s="32">
        <f>X17/DV17*2</f>
        <v>1.9195547585427509E-2</v>
      </c>
      <c r="AH17" s="32">
        <f>(P17+S17+T17)/DV17*2</f>
        <v>3.7776268470761508E-2</v>
      </c>
      <c r="AI17" s="32">
        <f>R17/DV17*2</f>
        <v>1.5988784244973291E-2</v>
      </c>
      <c r="AJ17" s="34">
        <f>X17/FZ17*2</f>
        <v>7.9198706024933591E-2</v>
      </c>
      <c r="AK17" s="35"/>
      <c r="AL17" s="36">
        <f t="shared" si="15"/>
        <v>3.3951944465001743E-2</v>
      </c>
      <c r="AM17" s="33">
        <f t="shared" si="16"/>
        <v>3.0276422765864324E-2</v>
      </c>
      <c r="AN17" s="34">
        <f t="shared" si="17"/>
        <v>0.10450540456380045</v>
      </c>
      <c r="AO17" s="28"/>
      <c r="AP17" s="36">
        <f t="shared" si="18"/>
        <v>0.79856610562785979</v>
      </c>
      <c r="AQ17" s="33">
        <f t="shared" si="19"/>
        <v>0.71079698613741715</v>
      </c>
      <c r="AR17" s="33">
        <f t="shared" si="20"/>
        <v>7.9501635010186034E-2</v>
      </c>
      <c r="AS17" s="33">
        <f t="shared" si="21"/>
        <v>0.33727914726459263</v>
      </c>
      <c r="AT17" s="33">
        <f t="shared" si="22"/>
        <v>0.17433285518147154</v>
      </c>
      <c r="AU17" s="37">
        <v>3.01</v>
      </c>
      <c r="AV17" s="38">
        <v>1.32</v>
      </c>
      <c r="AW17" s="28"/>
      <c r="AX17" s="36">
        <f>GB17/C17</f>
        <v>0.11582223053220002</v>
      </c>
      <c r="AY17" s="33">
        <v>0.1007</v>
      </c>
      <c r="AZ17" s="33">
        <f t="shared" si="23"/>
        <v>0.23384432655882678</v>
      </c>
      <c r="BA17" s="33">
        <f t="shared" si="24"/>
        <v>0.25251855691376146</v>
      </c>
      <c r="BB17" s="34">
        <f t="shared" si="25"/>
        <v>0.28021909382734722</v>
      </c>
      <c r="BC17" s="33"/>
      <c r="BD17" s="36">
        <f t="shared" si="26"/>
        <v>0.20765383236127147</v>
      </c>
      <c r="BE17" s="33">
        <f t="shared" si="27"/>
        <v>0.22791887488757334</v>
      </c>
      <c r="BF17" s="34">
        <f t="shared" si="28"/>
        <v>0.25684089976257124</v>
      </c>
      <c r="BG17" s="25"/>
      <c r="BH17" s="39">
        <v>2.5999999999999999E-2</v>
      </c>
      <c r="BI17" s="36">
        <f t="shared" si="29"/>
        <v>1.4624999999999999E-2</v>
      </c>
      <c r="BJ17" s="34">
        <f t="shared" si="30"/>
        <v>1.95E-2</v>
      </c>
      <c r="BK17" s="65">
        <v>1.2500000000000001E-2</v>
      </c>
      <c r="BL17" s="33"/>
      <c r="BM17" s="39">
        <f t="shared" si="31"/>
        <v>5.3028832361271455E-2</v>
      </c>
      <c r="BN17" s="34">
        <f t="shared" si="32"/>
        <v>5.3418874887573353E-2</v>
      </c>
      <c r="BO17" s="34">
        <f t="shared" si="33"/>
        <v>5.5840899762571228E-2</v>
      </c>
      <c r="BP17" s="28"/>
      <c r="BQ17" s="31">
        <f>Q17/GD17*2</f>
        <v>7.9020017705126195E-3</v>
      </c>
      <c r="BR17" s="33">
        <f t="shared" si="34"/>
        <v>0.34134406026824582</v>
      </c>
      <c r="BS17" s="32">
        <f>FC17/E17</f>
        <v>2.8639031707643252E-2</v>
      </c>
      <c r="BT17" s="33">
        <f t="shared" si="35"/>
        <v>0.18026116858862246</v>
      </c>
      <c r="BU17" s="33">
        <f t="shared" si="36"/>
        <v>0.61835624251779209</v>
      </c>
      <c r="BV17" s="34">
        <f t="shared" si="37"/>
        <v>0.69912274967591315</v>
      </c>
      <c r="BW17" s="28"/>
      <c r="BX17" s="27">
        <v>537.846</v>
      </c>
      <c r="BY17" s="28">
        <v>1579.3249999999998</v>
      </c>
      <c r="BZ17" s="29">
        <f t="shared" si="38"/>
        <v>2117.1709999999998</v>
      </c>
      <c r="CA17" s="25">
        <v>16136.614</v>
      </c>
      <c r="CB17" s="28">
        <v>139.52000000000001</v>
      </c>
      <c r="CC17" s="28">
        <v>31.853999999999999</v>
      </c>
      <c r="CD17" s="29">
        <f t="shared" si="39"/>
        <v>15965.24</v>
      </c>
      <c r="CE17" s="28">
        <v>1482.9690000000001</v>
      </c>
      <c r="CF17" s="28">
        <v>941.89600000000007</v>
      </c>
      <c r="CG17" s="29">
        <f t="shared" si="40"/>
        <v>2424.8650000000002</v>
      </c>
      <c r="CH17" s="28">
        <v>2</v>
      </c>
      <c r="CI17" s="28">
        <v>0.59399999999999997</v>
      </c>
      <c r="CJ17" s="28">
        <v>78.108999999999995</v>
      </c>
      <c r="CK17" s="28">
        <v>67.243999999999673</v>
      </c>
      <c r="CL17" s="29">
        <f t="shared" si="41"/>
        <v>20655.223000000002</v>
      </c>
      <c r="CM17" s="28">
        <v>3.8260000000000001</v>
      </c>
      <c r="CN17" s="25">
        <v>12886.153</v>
      </c>
      <c r="CO17" s="29">
        <f t="shared" si="42"/>
        <v>12889.978999999999</v>
      </c>
      <c r="CP17" s="28">
        <v>4796.92</v>
      </c>
      <c r="CQ17" s="28">
        <v>133.7279999999987</v>
      </c>
      <c r="CR17" s="29">
        <f t="shared" si="43"/>
        <v>4930.6479999999992</v>
      </c>
      <c r="CS17" s="28">
        <v>442.262</v>
      </c>
      <c r="CT17" s="28">
        <v>2392.3339999999998</v>
      </c>
      <c r="CU17" s="42">
        <f t="shared" si="44"/>
        <v>20655.222999999998</v>
      </c>
      <c r="CV17" s="28"/>
      <c r="CW17" s="43">
        <v>3600.884</v>
      </c>
      <c r="CX17" s="28"/>
      <c r="CY17" s="24">
        <v>865</v>
      </c>
      <c r="CZ17" s="25">
        <v>1275</v>
      </c>
      <c r="DA17" s="25">
        <v>1190</v>
      </c>
      <c r="DB17" s="25">
        <v>1135</v>
      </c>
      <c r="DC17" s="25">
        <v>750</v>
      </c>
      <c r="DD17" s="25">
        <v>0</v>
      </c>
      <c r="DE17" s="26">
        <f t="shared" si="45"/>
        <v>5215</v>
      </c>
      <c r="DF17" s="34">
        <f t="shared" si="46"/>
        <v>0.25247851354594431</v>
      </c>
      <c r="DG17" s="25"/>
      <c r="DH17" s="44" t="s">
        <v>235</v>
      </c>
      <c r="DI17" s="45">
        <v>84.8</v>
      </c>
      <c r="DJ17" s="46">
        <v>14</v>
      </c>
      <c r="DK17" s="45" t="s">
        <v>168</v>
      </c>
      <c r="DL17" s="47" t="s">
        <v>169</v>
      </c>
      <c r="DM17" s="48" t="s">
        <v>172</v>
      </c>
      <c r="DN17" s="39">
        <v>0.21856405349087213</v>
      </c>
      <c r="DO17" s="66" t="s">
        <v>178</v>
      </c>
      <c r="DP17" s="67" t="s">
        <v>179</v>
      </c>
      <c r="DQ17" s="25"/>
      <c r="DR17" s="24">
        <v>2182.6369999999997</v>
      </c>
      <c r="DS17" s="25">
        <v>2356.9369999999999</v>
      </c>
      <c r="DT17" s="26">
        <v>2615.4859999999999</v>
      </c>
      <c r="DU17" s="25"/>
      <c r="DV17" s="44">
        <f t="shared" si="47"/>
        <v>9726.3179999999993</v>
      </c>
      <c r="DW17" s="25">
        <v>10118.918</v>
      </c>
      <c r="DX17" s="26">
        <v>9333.7180000000008</v>
      </c>
      <c r="DY17" s="25"/>
      <c r="DZ17" s="24">
        <v>2187.098</v>
      </c>
      <c r="EA17" s="25">
        <v>2400.538</v>
      </c>
      <c r="EB17" s="25">
        <v>2705.1570000000002</v>
      </c>
      <c r="EC17" s="26">
        <v>10532.423000000001</v>
      </c>
      <c r="ED17" s="25"/>
      <c r="EE17" s="24">
        <v>668.80186179999998</v>
      </c>
      <c r="EF17" s="25">
        <v>208.14600000000002</v>
      </c>
      <c r="EG17" s="25">
        <v>851.50600000000009</v>
      </c>
      <c r="EH17" s="25">
        <v>576.452</v>
      </c>
      <c r="EI17" s="25">
        <v>3199.683</v>
      </c>
      <c r="EJ17" s="25">
        <v>405.62299999999999</v>
      </c>
      <c r="EK17" s="25">
        <v>246.87699999999998</v>
      </c>
      <c r="EL17" s="25">
        <v>1.348138199999994</v>
      </c>
      <c r="EM17" s="26">
        <v>9768.6350000000002</v>
      </c>
      <c r="EN17" s="26">
        <f t="shared" si="48"/>
        <v>15927.072</v>
      </c>
      <c r="EO17" s="45"/>
      <c r="EP17" s="36">
        <f t="shared" si="49"/>
        <v>4.1991513681861922E-2</v>
      </c>
      <c r="EQ17" s="33">
        <f t="shared" si="50"/>
        <v>1.3068692098585353E-2</v>
      </c>
      <c r="ER17" s="33">
        <f t="shared" si="51"/>
        <v>5.346280848105666E-2</v>
      </c>
      <c r="ES17" s="33">
        <f t="shared" si="52"/>
        <v>3.6193218690792631E-2</v>
      </c>
      <c r="ET17" s="33">
        <f t="shared" si="53"/>
        <v>0.20089587087946861</v>
      </c>
      <c r="EU17" s="33">
        <f t="shared" si="54"/>
        <v>2.5467518449090957E-2</v>
      </c>
      <c r="EV17" s="33">
        <f t="shared" si="55"/>
        <v>1.550046361314873E-2</v>
      </c>
      <c r="EW17" s="33">
        <f t="shared" si="56"/>
        <v>8.4644446888919314E-5</v>
      </c>
      <c r="EX17" s="33">
        <f t="shared" si="57"/>
        <v>0.61333526965910623</v>
      </c>
      <c r="EY17" s="39">
        <f t="shared" si="58"/>
        <v>1</v>
      </c>
      <c r="EZ17" s="45"/>
      <c r="FA17" s="27">
        <v>216.00800000000001</v>
      </c>
      <c r="FB17" s="28">
        <v>246.12899999999999</v>
      </c>
      <c r="FC17" s="42">
        <f t="shared" si="59"/>
        <v>462.137</v>
      </c>
      <c r="FE17" s="27">
        <f>CB17</f>
        <v>139.52000000000001</v>
      </c>
      <c r="FF17" s="28">
        <f>CC17</f>
        <v>31.853999999999999</v>
      </c>
      <c r="FG17" s="42">
        <f t="shared" si="60"/>
        <v>171.37400000000002</v>
      </c>
      <c r="FI17" s="53">
        <v>14086.973</v>
      </c>
      <c r="FJ17" s="54">
        <v>1549.933</v>
      </c>
      <c r="FK17" s="55">
        <v>499.71800000000002</v>
      </c>
      <c r="FL17" s="56">
        <f t="shared" si="61"/>
        <v>16136.624</v>
      </c>
      <c r="FM17" s="57">
        <f t="shared" si="62"/>
        <v>0.87298142411944413</v>
      </c>
      <c r="FN17" s="58">
        <f t="shared" si="63"/>
        <v>9.6050636118186802E-2</v>
      </c>
      <c r="FO17" s="59">
        <f t="shared" si="64"/>
        <v>3.0967939762369133E-2</v>
      </c>
      <c r="FP17" s="61">
        <f t="shared" si="65"/>
        <v>1</v>
      </c>
      <c r="FR17" s="24">
        <f>FV17*E17</f>
        <v>9978.1759999999995</v>
      </c>
      <c r="FS17" s="25">
        <f>E17*FW17</f>
        <v>6158.438000000001</v>
      </c>
      <c r="FT17" s="26">
        <f t="shared" si="66"/>
        <v>16136.614000000001</v>
      </c>
      <c r="FV17" s="36">
        <v>0.61835624251779209</v>
      </c>
      <c r="FW17" s="33">
        <v>0.38164375748220791</v>
      </c>
      <c r="FX17" s="34">
        <f t="shared" si="67"/>
        <v>1</v>
      </c>
      <c r="FY17" s="45"/>
      <c r="FZ17" s="44">
        <f t="shared" si="68"/>
        <v>2357.3869999999997</v>
      </c>
      <c r="GA17" s="25">
        <v>2322.44</v>
      </c>
      <c r="GB17" s="26">
        <v>2392.3339999999998</v>
      </c>
      <c r="GD17" s="44">
        <f t="shared" si="69"/>
        <v>15871.674500000001</v>
      </c>
      <c r="GE17" s="25">
        <v>15606.735000000001</v>
      </c>
      <c r="GF17" s="26">
        <v>16136.614</v>
      </c>
      <c r="GH17" s="44">
        <f t="shared" si="70"/>
        <v>4295.8519999999999</v>
      </c>
      <c r="GI17" s="25">
        <v>4260.0439999999999</v>
      </c>
      <c r="GJ17" s="26">
        <f>F17</f>
        <v>4331.66</v>
      </c>
      <c r="GL17" s="44">
        <f t="shared" si="71"/>
        <v>20167.5265</v>
      </c>
      <c r="GM17" s="45">
        <f t="shared" si="72"/>
        <v>19866.779000000002</v>
      </c>
      <c r="GN17" s="46">
        <f t="shared" si="73"/>
        <v>20468.273999999998</v>
      </c>
      <c r="GP17" s="44">
        <f t="shared" si="74"/>
        <v>12276.526000000002</v>
      </c>
      <c r="GQ17" s="25">
        <v>11666.899000000001</v>
      </c>
      <c r="GR17" s="26">
        <f>G17</f>
        <v>12886.153</v>
      </c>
      <c r="GS17" s="25"/>
      <c r="GT17" s="44">
        <f t="shared" si="75"/>
        <v>19928.1535</v>
      </c>
      <c r="GU17" s="25">
        <v>19201.083999999999</v>
      </c>
      <c r="GV17" s="26">
        <f>C17</f>
        <v>20655.222999999998</v>
      </c>
      <c r="GW17" s="25"/>
      <c r="GX17" s="61">
        <f>DX17/C17</f>
        <v>0.45188173470700371</v>
      </c>
      <c r="GY17" s="62"/>
    </row>
    <row r="18" spans="1:207" x14ac:dyDescent="0.25">
      <c r="A18" s="1"/>
      <c r="B18" s="23" t="s">
        <v>189</v>
      </c>
      <c r="C18" s="24">
        <v>4977.4530000000004</v>
      </c>
      <c r="D18" s="25">
        <f t="shared" si="0"/>
        <v>4659.6350000000002</v>
      </c>
      <c r="E18" s="25">
        <v>3845.3809999999999</v>
      </c>
      <c r="F18" s="25">
        <v>1131.1400000000001</v>
      </c>
      <c r="G18" s="25">
        <v>3269.4029999999998</v>
      </c>
      <c r="H18" s="25">
        <f t="shared" si="1"/>
        <v>6108.5930000000008</v>
      </c>
      <c r="I18" s="26">
        <f t="shared" si="2"/>
        <v>4976.5209999999997</v>
      </c>
      <c r="J18" s="25"/>
      <c r="K18" s="27">
        <v>58.826999999999998</v>
      </c>
      <c r="L18" s="28">
        <v>12.385</v>
      </c>
      <c r="M18" s="28">
        <v>0.55000000000000004</v>
      </c>
      <c r="N18" s="29">
        <f t="shared" si="3"/>
        <v>71.762</v>
      </c>
      <c r="O18" s="28">
        <v>30.742000000000004</v>
      </c>
      <c r="P18" s="29">
        <f t="shared" si="4"/>
        <v>41.019999999999996</v>
      </c>
      <c r="Q18" s="28">
        <v>2.3719999999999999</v>
      </c>
      <c r="R18" s="29">
        <f t="shared" si="5"/>
        <v>38.647999999999996</v>
      </c>
      <c r="S18" s="28">
        <v>6.5</v>
      </c>
      <c r="T18" s="28">
        <v>0.22299999999999998</v>
      </c>
      <c r="U18" s="28">
        <v>0</v>
      </c>
      <c r="V18" s="29">
        <f t="shared" si="6"/>
        <v>45.370999999999995</v>
      </c>
      <c r="W18" s="28">
        <v>10.311</v>
      </c>
      <c r="X18" s="30">
        <f t="shared" si="7"/>
        <v>35.059999999999995</v>
      </c>
      <c r="Y18" s="28"/>
      <c r="Z18" s="31">
        <f t="shared" si="8"/>
        <v>2.5249617191046077E-2</v>
      </c>
      <c r="AA18" s="32">
        <f t="shared" si="9"/>
        <v>5.3158670153348915E-3</v>
      </c>
      <c r="AB18" s="33">
        <f t="shared" si="10"/>
        <v>0.39169268012996122</v>
      </c>
      <c r="AC18" s="33">
        <f t="shared" si="11"/>
        <v>0.39280877053998114</v>
      </c>
      <c r="AD18" s="33">
        <f t="shared" si="12"/>
        <v>0.42838828349265634</v>
      </c>
      <c r="AE18" s="32">
        <f t="shared" si="13"/>
        <v>1.3195024932210357E-2</v>
      </c>
      <c r="AF18" s="32">
        <f t="shared" si="14"/>
        <v>1.504838898325727E-2</v>
      </c>
      <c r="AG18" s="32">
        <f>X18/DV18*2</f>
        <v>3.1755326387648206E-2</v>
      </c>
      <c r="AH18" s="32">
        <f>(P18+S18+T18)/DV18*2</f>
        <v>4.3242856466785183E-2</v>
      </c>
      <c r="AI18" s="32">
        <f>R18/DV18*2</f>
        <v>3.5005129898169653E-2</v>
      </c>
      <c r="AJ18" s="34">
        <f>X18/FZ18*2</f>
        <v>0.1265602311727668</v>
      </c>
      <c r="AK18" s="35"/>
      <c r="AL18" s="36">
        <f t="shared" si="15"/>
        <v>0.10223230805788135</v>
      </c>
      <c r="AM18" s="33">
        <f t="shared" si="16"/>
        <v>0.10968126761568361</v>
      </c>
      <c r="AN18" s="34">
        <f t="shared" si="17"/>
        <v>0.19873219172657747</v>
      </c>
      <c r="AO18" s="28"/>
      <c r="AP18" s="36">
        <f t="shared" si="18"/>
        <v>0.85021562232715042</v>
      </c>
      <c r="AQ18" s="33">
        <f t="shared" si="19"/>
        <v>0.75194350792111286</v>
      </c>
      <c r="AR18" s="33">
        <f t="shared" si="20"/>
        <v>6.35403287585036E-2</v>
      </c>
      <c r="AS18" s="33">
        <f t="shared" si="21"/>
        <v>0.31218898500899955</v>
      </c>
      <c r="AT18" s="33">
        <f t="shared" si="22"/>
        <v>0.15314358568528924</v>
      </c>
      <c r="AU18" s="37">
        <v>5.1870000000000003</v>
      </c>
      <c r="AV18" s="38">
        <v>1.44</v>
      </c>
      <c r="AW18" s="28"/>
      <c r="AX18" s="36">
        <f>GB18/C18</f>
        <v>0.1166695094860765</v>
      </c>
      <c r="AY18" s="33">
        <v>0.11199999999999999</v>
      </c>
      <c r="AZ18" s="33">
        <f t="shared" si="23"/>
        <v>0.24261323931851278</v>
      </c>
      <c r="BA18" s="33">
        <f t="shared" si="24"/>
        <v>0.26515515601260542</v>
      </c>
      <c r="BB18" s="34">
        <f t="shared" si="25"/>
        <v>0.28318868936787955</v>
      </c>
      <c r="BC18" s="33"/>
      <c r="BD18" s="36">
        <f t="shared" si="26"/>
        <v>0.21524245232537551</v>
      </c>
      <c r="BE18" s="33">
        <f t="shared" si="27"/>
        <v>0.23776788565203505</v>
      </c>
      <c r="BF18" s="34">
        <f t="shared" si="28"/>
        <v>0.25717981702631187</v>
      </c>
      <c r="BG18" s="25"/>
      <c r="BH18" s="39">
        <v>1.9E-2</v>
      </c>
      <c r="BI18" s="36">
        <f t="shared" si="29"/>
        <v>1.0687499999999999E-2</v>
      </c>
      <c r="BJ18" s="34">
        <f t="shared" si="30"/>
        <v>1.4249999999999999E-2</v>
      </c>
      <c r="BK18" s="39">
        <v>0.01</v>
      </c>
      <c r="BL18" s="33"/>
      <c r="BM18" s="39">
        <f t="shared" si="31"/>
        <v>6.4554952325375503E-2</v>
      </c>
      <c r="BN18" s="34">
        <f t="shared" si="32"/>
        <v>6.8517885652035038E-2</v>
      </c>
      <c r="BO18" s="34">
        <f t="shared" si="33"/>
        <v>6.3179817026311869E-2</v>
      </c>
      <c r="BP18" s="28"/>
      <c r="BQ18" s="31">
        <f>Q18/GD18*2</f>
        <v>1.2936825803622585E-3</v>
      </c>
      <c r="BR18" s="33">
        <f t="shared" si="34"/>
        <v>4.9682675994386617E-2</v>
      </c>
      <c r="BS18" s="32">
        <f>FC18/E18</f>
        <v>1.9042066312804893E-2</v>
      </c>
      <c r="BT18" s="33">
        <f t="shared" si="35"/>
        <v>0.12400128702308173</v>
      </c>
      <c r="BU18" s="33">
        <f t="shared" si="36"/>
        <v>0.76750262197686014</v>
      </c>
      <c r="BV18" s="34">
        <f t="shared" si="37"/>
        <v>0.82034819103546452</v>
      </c>
      <c r="BW18" s="28"/>
      <c r="BX18" s="27">
        <v>83.131</v>
      </c>
      <c r="BY18" s="28">
        <v>469.12299999999999</v>
      </c>
      <c r="BZ18" s="29">
        <f t="shared" si="38"/>
        <v>552.25400000000002</v>
      </c>
      <c r="CA18" s="25">
        <v>3845.3809999999999</v>
      </c>
      <c r="CB18" s="28">
        <v>4.3250000000000002</v>
      </c>
      <c r="CC18" s="28">
        <v>5.468</v>
      </c>
      <c r="CD18" s="29">
        <f t="shared" si="39"/>
        <v>3835.5880000000002</v>
      </c>
      <c r="CE18" s="28">
        <v>210.011</v>
      </c>
      <c r="CF18" s="28">
        <v>306.21199999999999</v>
      </c>
      <c r="CG18" s="29">
        <f t="shared" si="40"/>
        <v>516.22299999999996</v>
      </c>
      <c r="CH18" s="28">
        <v>14.006</v>
      </c>
      <c r="CI18" s="28">
        <v>0</v>
      </c>
      <c r="CJ18" s="28">
        <v>9.5860000000000003</v>
      </c>
      <c r="CK18" s="28">
        <v>49.796000000000376</v>
      </c>
      <c r="CL18" s="29">
        <f t="shared" si="41"/>
        <v>4977.4530000000013</v>
      </c>
      <c r="CM18" s="28">
        <v>147.65299999999999</v>
      </c>
      <c r="CN18" s="25">
        <v>3269.4029999999998</v>
      </c>
      <c r="CO18" s="29">
        <f t="shared" si="42"/>
        <v>3417.0559999999996</v>
      </c>
      <c r="CP18" s="28">
        <v>840.68299999999999</v>
      </c>
      <c r="CQ18" s="28">
        <v>48.799000000000888</v>
      </c>
      <c r="CR18" s="29">
        <f t="shared" si="43"/>
        <v>889.48200000000088</v>
      </c>
      <c r="CS18" s="28">
        <v>90.198000000000008</v>
      </c>
      <c r="CT18" s="28">
        <v>580.71699999999998</v>
      </c>
      <c r="CU18" s="42">
        <f t="shared" si="44"/>
        <v>4977.4530000000004</v>
      </c>
      <c r="CV18" s="28"/>
      <c r="CW18" s="43">
        <v>762.26499999999999</v>
      </c>
      <c r="CX18" s="28"/>
      <c r="CY18" s="24">
        <v>155</v>
      </c>
      <c r="CZ18" s="25">
        <v>260</v>
      </c>
      <c r="DA18" s="25">
        <v>320</v>
      </c>
      <c r="DB18" s="25">
        <v>120</v>
      </c>
      <c r="DC18" s="25">
        <v>220</v>
      </c>
      <c r="DD18" s="25">
        <v>0</v>
      </c>
      <c r="DE18" s="26">
        <f t="shared" si="45"/>
        <v>1075</v>
      </c>
      <c r="DF18" s="34">
        <f t="shared" si="46"/>
        <v>0.2159739127622099</v>
      </c>
      <c r="DG18" s="25"/>
      <c r="DH18" s="44" t="s">
        <v>235</v>
      </c>
      <c r="DI18" s="45">
        <v>26</v>
      </c>
      <c r="DJ18" s="46">
        <v>3</v>
      </c>
      <c r="DK18" s="45" t="s">
        <v>168</v>
      </c>
      <c r="DL18" s="47" t="s">
        <v>169</v>
      </c>
      <c r="DM18" s="48" t="s">
        <v>170</v>
      </c>
      <c r="DN18" s="39">
        <v>0.17109121006392655</v>
      </c>
      <c r="DO18" s="66" t="s">
        <v>178</v>
      </c>
      <c r="DP18" s="67" t="s">
        <v>179</v>
      </c>
      <c r="DQ18" s="25"/>
      <c r="DR18" s="24">
        <v>538.13800000000003</v>
      </c>
      <c r="DS18" s="25">
        <v>588.13800000000003</v>
      </c>
      <c r="DT18" s="26">
        <v>628.13800000000003</v>
      </c>
      <c r="DU18" s="25"/>
      <c r="DV18" s="44">
        <f t="shared" si="47"/>
        <v>2208.1334999999999</v>
      </c>
      <c r="DW18" s="25">
        <v>2198.1770000000001</v>
      </c>
      <c r="DX18" s="26">
        <v>2218.09</v>
      </c>
      <c r="DY18" s="25"/>
      <c r="DZ18" s="24">
        <v>538.60699999999997</v>
      </c>
      <c r="EA18" s="25">
        <v>594.97299999999996</v>
      </c>
      <c r="EB18" s="25">
        <v>643.548</v>
      </c>
      <c r="EC18" s="26">
        <v>2502.3270000000002</v>
      </c>
      <c r="ED18" s="25"/>
      <c r="EE18" s="24">
        <v>303.33904117000003</v>
      </c>
      <c r="EF18" s="25">
        <v>11.19306733</v>
      </c>
      <c r="EG18" s="25">
        <v>191</v>
      </c>
      <c r="EH18" s="25">
        <v>4.1055711099999996</v>
      </c>
      <c r="EI18" s="25">
        <v>309.95654120000034</v>
      </c>
      <c r="EJ18" s="25">
        <v>29.64327866</v>
      </c>
      <c r="EK18" s="25">
        <v>8.5725005299999992</v>
      </c>
      <c r="EL18" s="25">
        <v>0</v>
      </c>
      <c r="EM18" s="26">
        <v>2918.2809999999999</v>
      </c>
      <c r="EN18" s="26">
        <f t="shared" si="48"/>
        <v>3776.0910000000003</v>
      </c>
      <c r="EO18" s="45"/>
      <c r="EP18" s="36">
        <f t="shared" si="49"/>
        <v>8.0331496558213242E-2</v>
      </c>
      <c r="EQ18" s="33">
        <f t="shared" si="50"/>
        <v>2.9641942765680166E-3</v>
      </c>
      <c r="ER18" s="33">
        <f t="shared" si="51"/>
        <v>5.0581408128140978E-2</v>
      </c>
      <c r="ES18" s="33">
        <f t="shared" si="52"/>
        <v>1.0872542822723285E-3</v>
      </c>
      <c r="ET18" s="33">
        <f t="shared" si="53"/>
        <v>8.2083970222116026E-2</v>
      </c>
      <c r="EU18" s="33">
        <f t="shared" si="54"/>
        <v>7.850255372553256E-3</v>
      </c>
      <c r="EV18" s="33">
        <f t="shared" si="55"/>
        <v>2.2702049632808102E-3</v>
      </c>
      <c r="EW18" s="33">
        <f t="shared" si="56"/>
        <v>0</v>
      </c>
      <c r="EX18" s="33">
        <f t="shared" si="57"/>
        <v>0.77283121619685535</v>
      </c>
      <c r="EY18" s="39">
        <f t="shared" si="58"/>
        <v>1</v>
      </c>
      <c r="EZ18" s="45"/>
      <c r="FA18" s="27">
        <v>44.010999999999996</v>
      </c>
      <c r="FB18" s="28">
        <v>29.213000000000001</v>
      </c>
      <c r="FC18" s="42">
        <f t="shared" si="59"/>
        <v>73.22399999999999</v>
      </c>
      <c r="FE18" s="27">
        <f>CB18</f>
        <v>4.3250000000000002</v>
      </c>
      <c r="FF18" s="28">
        <f>CC18</f>
        <v>5.468</v>
      </c>
      <c r="FG18" s="42">
        <f t="shared" si="60"/>
        <v>9.7929999999999993</v>
      </c>
      <c r="FI18" s="53">
        <v>3326.1190000000001</v>
      </c>
      <c r="FJ18" s="54">
        <v>445.52600000000001</v>
      </c>
      <c r="FK18" s="55">
        <v>73.736999999999995</v>
      </c>
      <c r="FL18" s="56">
        <f t="shared" si="61"/>
        <v>3845.3820000000001</v>
      </c>
      <c r="FM18" s="57">
        <f t="shared" si="62"/>
        <v>0.86496452108009036</v>
      </c>
      <c r="FN18" s="58">
        <f t="shared" si="63"/>
        <v>0.11586001078696473</v>
      </c>
      <c r="FO18" s="59">
        <f t="shared" si="64"/>
        <v>1.9175468132944917E-2</v>
      </c>
      <c r="FP18" s="61">
        <f t="shared" si="65"/>
        <v>1</v>
      </c>
      <c r="FR18" s="24">
        <f>FV18*E18</f>
        <v>2951.34</v>
      </c>
      <c r="FS18" s="25">
        <f>E18*FW18</f>
        <v>894.04099999999949</v>
      </c>
      <c r="FT18" s="26">
        <f t="shared" si="66"/>
        <v>3845.3809999999994</v>
      </c>
      <c r="FV18" s="36">
        <v>0.76750262197686014</v>
      </c>
      <c r="FW18" s="33">
        <v>0.23249737802313986</v>
      </c>
      <c r="FX18" s="34">
        <f t="shared" si="67"/>
        <v>1</v>
      </c>
      <c r="FY18" s="45"/>
      <c r="FZ18" s="44">
        <f t="shared" si="68"/>
        <v>554.04449999999997</v>
      </c>
      <c r="GA18" s="25">
        <v>527.37199999999996</v>
      </c>
      <c r="GB18" s="26">
        <v>580.71699999999998</v>
      </c>
      <c r="GD18" s="44">
        <f t="shared" si="69"/>
        <v>3667.0509999999999</v>
      </c>
      <c r="GE18" s="25">
        <v>3488.721</v>
      </c>
      <c r="GF18" s="26">
        <v>3845.3809999999999</v>
      </c>
      <c r="GH18" s="44">
        <f t="shared" si="70"/>
        <v>1063.5295000000001</v>
      </c>
      <c r="GI18" s="25">
        <v>995.91899999999998</v>
      </c>
      <c r="GJ18" s="26">
        <f>F18</f>
        <v>1131.1400000000001</v>
      </c>
      <c r="GL18" s="44">
        <f t="shared" si="71"/>
        <v>4730.5805</v>
      </c>
      <c r="GM18" s="45">
        <f t="shared" si="72"/>
        <v>4484.6400000000003</v>
      </c>
      <c r="GN18" s="46">
        <f t="shared" si="73"/>
        <v>4976.5209999999997</v>
      </c>
      <c r="GP18" s="44">
        <f t="shared" si="74"/>
        <v>2998.3935000000001</v>
      </c>
      <c r="GQ18" s="25">
        <v>2727.384</v>
      </c>
      <c r="GR18" s="26">
        <f>G18</f>
        <v>3269.4029999999998</v>
      </c>
      <c r="GS18" s="25"/>
      <c r="GT18" s="44">
        <f t="shared" si="75"/>
        <v>4659.6350000000002</v>
      </c>
      <c r="GU18" s="25">
        <v>4341.817</v>
      </c>
      <c r="GV18" s="26">
        <f>C18</f>
        <v>4977.4530000000004</v>
      </c>
      <c r="GW18" s="25"/>
      <c r="GX18" s="61">
        <f>DX18/C18</f>
        <v>0.44562751270579548</v>
      </c>
      <c r="GY18" s="62"/>
    </row>
    <row r="19" spans="1:207" x14ac:dyDescent="0.25">
      <c r="A19" s="1"/>
      <c r="B19" s="23" t="s">
        <v>190</v>
      </c>
      <c r="C19" s="24">
        <v>9134.6080000000002</v>
      </c>
      <c r="D19" s="25">
        <f t="shared" si="0"/>
        <v>8789.5600000000013</v>
      </c>
      <c r="E19" s="25">
        <v>6992.39</v>
      </c>
      <c r="F19" s="25">
        <v>1125.0519999999999</v>
      </c>
      <c r="G19" s="25">
        <v>5156.24</v>
      </c>
      <c r="H19" s="25">
        <f t="shared" si="1"/>
        <v>10259.66</v>
      </c>
      <c r="I19" s="26">
        <f t="shared" si="2"/>
        <v>8117.442</v>
      </c>
      <c r="J19" s="25"/>
      <c r="K19" s="27">
        <v>61.061</v>
      </c>
      <c r="L19" s="28">
        <v>21.655999999999999</v>
      </c>
      <c r="M19" s="28">
        <v>0.43500000000000005</v>
      </c>
      <c r="N19" s="29">
        <f t="shared" si="3"/>
        <v>83.152000000000001</v>
      </c>
      <c r="O19" s="28">
        <v>50.233999999999995</v>
      </c>
      <c r="P19" s="29">
        <f t="shared" si="4"/>
        <v>32.918000000000006</v>
      </c>
      <c r="Q19" s="28">
        <v>13.151999999999999</v>
      </c>
      <c r="R19" s="29">
        <f t="shared" si="5"/>
        <v>19.766000000000005</v>
      </c>
      <c r="S19" s="28">
        <v>12.769</v>
      </c>
      <c r="T19" s="28">
        <v>4.2140000000000004</v>
      </c>
      <c r="U19" s="28">
        <v>0</v>
      </c>
      <c r="V19" s="29">
        <f t="shared" si="6"/>
        <v>36.749000000000002</v>
      </c>
      <c r="W19" s="28">
        <v>6.1999999999999993</v>
      </c>
      <c r="X19" s="30">
        <f t="shared" si="7"/>
        <v>30.549000000000003</v>
      </c>
      <c r="Y19" s="28"/>
      <c r="Z19" s="31">
        <f t="shared" si="8"/>
        <v>1.3893983316571022E-2</v>
      </c>
      <c r="AA19" s="32">
        <f t="shared" si="9"/>
        <v>4.9276641834175988E-3</v>
      </c>
      <c r="AB19" s="33">
        <f t="shared" si="10"/>
        <v>0.50166275528037141</v>
      </c>
      <c r="AC19" s="33">
        <f t="shared" si="11"/>
        <v>0.52370179626984692</v>
      </c>
      <c r="AD19" s="33">
        <f t="shared" si="12"/>
        <v>0.60412257071387332</v>
      </c>
      <c r="AE19" s="32">
        <f t="shared" si="13"/>
        <v>1.1430378767537849E-2</v>
      </c>
      <c r="AF19" s="32">
        <f t="shared" si="14"/>
        <v>6.9512011977846443E-3</v>
      </c>
      <c r="AG19" s="32">
        <f>X19/DV19*2</f>
        <v>1.454677399251662E-2</v>
      </c>
      <c r="AH19" s="32">
        <f>(P19+S19+T19)/DV19*2</f>
        <v>2.376177842157098E-2</v>
      </c>
      <c r="AI19" s="32">
        <f>R19/DV19*2</f>
        <v>9.4121422873443827E-3</v>
      </c>
      <c r="AJ19" s="34">
        <f>X19/FZ19*2</f>
        <v>7.0781635561116329E-2</v>
      </c>
      <c r="AK19" s="35"/>
      <c r="AL19" s="36">
        <f t="shared" si="15"/>
        <v>9.2345540613710336E-2</v>
      </c>
      <c r="AM19" s="33">
        <f t="shared" si="16"/>
        <v>9.613825740926564E-2</v>
      </c>
      <c r="AN19" s="34">
        <f t="shared" si="17"/>
        <v>1.1160884563786467E-2</v>
      </c>
      <c r="AO19" s="28"/>
      <c r="AP19" s="36">
        <f t="shared" si="18"/>
        <v>0.73740738145326556</v>
      </c>
      <c r="AQ19" s="33">
        <f t="shared" si="19"/>
        <v>0.62969124705181811</v>
      </c>
      <c r="AR19" s="33">
        <f t="shared" si="20"/>
        <v>0.13650700719724373</v>
      </c>
      <c r="AS19" s="33">
        <f t="shared" si="21"/>
        <v>0.36322270205793178</v>
      </c>
      <c r="AT19" s="33">
        <f t="shared" si="22"/>
        <v>0.19544823379394058</v>
      </c>
      <c r="AU19" s="37">
        <v>3.01</v>
      </c>
      <c r="AV19" s="38">
        <v>1.51</v>
      </c>
      <c r="AW19" s="28"/>
      <c r="AX19" s="36">
        <f>GB19/C19</f>
        <v>9.6708692918185429E-2</v>
      </c>
      <c r="AY19" s="33">
        <v>0.1047</v>
      </c>
      <c r="AZ19" s="33">
        <f t="shared" si="23"/>
        <v>0.20041610381312311</v>
      </c>
      <c r="BA19" s="33">
        <f t="shared" si="24"/>
        <v>0.22927052334068623</v>
      </c>
      <c r="BB19" s="34">
        <f t="shared" si="25"/>
        <v>0.263895826773762</v>
      </c>
      <c r="BC19" s="33"/>
      <c r="BD19" s="36">
        <f t="shared" si="26"/>
        <v>0.18521366315458027</v>
      </c>
      <c r="BE19" s="33">
        <f t="shared" si="27"/>
        <v>0.21366164903167417</v>
      </c>
      <c r="BF19" s="34">
        <f t="shared" si="28"/>
        <v>0.24802988212845001</v>
      </c>
      <c r="BG19" s="25"/>
      <c r="BH19" s="39">
        <v>0.03</v>
      </c>
      <c r="BI19" s="36">
        <f t="shared" si="29"/>
        <v>1.6875000000000001E-2</v>
      </c>
      <c r="BJ19" s="34">
        <f t="shared" si="30"/>
        <v>2.2499999999999999E-2</v>
      </c>
      <c r="BK19" s="39">
        <v>1.4999999999999999E-2</v>
      </c>
      <c r="BL19" s="33"/>
      <c r="BM19" s="39">
        <f t="shared" si="31"/>
        <v>2.8338663154580251E-2</v>
      </c>
      <c r="BN19" s="34">
        <f t="shared" si="32"/>
        <v>3.6161649031674181E-2</v>
      </c>
      <c r="BO19" s="34">
        <f t="shared" si="33"/>
        <v>4.3029882128449992E-2</v>
      </c>
      <c r="BP19" s="28"/>
      <c r="BQ19" s="31">
        <f>Q19/GD19*2</f>
        <v>3.9278308858554786E-3</v>
      </c>
      <c r="BR19" s="33">
        <f t="shared" si="34"/>
        <v>0.26356185246788638</v>
      </c>
      <c r="BS19" s="32">
        <f>FC19/E19</f>
        <v>5.6596385499092586E-2</v>
      </c>
      <c r="BT19" s="33">
        <f t="shared" si="35"/>
        <v>0.41585560896055018</v>
      </c>
      <c r="BU19" s="33">
        <f t="shared" si="36"/>
        <v>0.6279798466618709</v>
      </c>
      <c r="BV19" s="34">
        <f t="shared" si="37"/>
        <v>0.67954067303468257</v>
      </c>
      <c r="BW19" s="28"/>
      <c r="BX19" s="27">
        <v>461.63499999999999</v>
      </c>
      <c r="BY19" s="28">
        <v>45.622</v>
      </c>
      <c r="BZ19" s="29">
        <f t="shared" si="38"/>
        <v>507.25700000000001</v>
      </c>
      <c r="CA19" s="25">
        <v>6992.39</v>
      </c>
      <c r="CB19" s="28">
        <v>47.234999999999999</v>
      </c>
      <c r="CC19" s="28">
        <v>21.006999999999998</v>
      </c>
      <c r="CD19" s="29">
        <f t="shared" si="39"/>
        <v>6924.148000000001</v>
      </c>
      <c r="CE19" s="28">
        <v>1278.086</v>
      </c>
      <c r="CF19" s="28">
        <v>242.74100000000001</v>
      </c>
      <c r="CG19" s="29">
        <f t="shared" si="40"/>
        <v>1520.827</v>
      </c>
      <c r="CH19" s="28">
        <v>39.313000000000002</v>
      </c>
      <c r="CI19" s="28">
        <v>0</v>
      </c>
      <c r="CJ19" s="28">
        <v>77.433999999999997</v>
      </c>
      <c r="CK19" s="28">
        <v>65.628999999999536</v>
      </c>
      <c r="CL19" s="29">
        <f t="shared" si="41"/>
        <v>9134.6079999999984</v>
      </c>
      <c r="CM19" s="28">
        <v>1.9810000000000001</v>
      </c>
      <c r="CN19" s="25">
        <v>5156.24</v>
      </c>
      <c r="CO19" s="29">
        <f t="shared" si="42"/>
        <v>5158.2209999999995</v>
      </c>
      <c r="CP19" s="28">
        <v>2753.39</v>
      </c>
      <c r="CQ19" s="28">
        <v>62.691000000000827</v>
      </c>
      <c r="CR19" s="29">
        <f t="shared" si="43"/>
        <v>2816.0810000000006</v>
      </c>
      <c r="CS19" s="28">
        <v>276.90999999999997</v>
      </c>
      <c r="CT19" s="28">
        <v>883.39599999999996</v>
      </c>
      <c r="CU19" s="42">
        <f t="shared" si="44"/>
        <v>9134.6080000000002</v>
      </c>
      <c r="CV19" s="28"/>
      <c r="CW19" s="43">
        <v>1785.3430000000001</v>
      </c>
      <c r="CX19" s="28"/>
      <c r="CY19" s="24">
        <v>475</v>
      </c>
      <c r="CZ19" s="25">
        <v>575</v>
      </c>
      <c r="DA19" s="25">
        <v>600</v>
      </c>
      <c r="DB19" s="25">
        <v>600</v>
      </c>
      <c r="DC19" s="25">
        <v>800</v>
      </c>
      <c r="DD19" s="25">
        <v>0</v>
      </c>
      <c r="DE19" s="26">
        <f t="shared" si="45"/>
        <v>3050</v>
      </c>
      <c r="DF19" s="34">
        <f t="shared" si="46"/>
        <v>0.33389500676985812</v>
      </c>
      <c r="DG19" s="25"/>
      <c r="DH19" s="44" t="s">
        <v>229</v>
      </c>
      <c r="DI19" s="45">
        <v>39.799999999999997</v>
      </c>
      <c r="DJ19" s="46">
        <v>4</v>
      </c>
      <c r="DK19" s="45" t="s">
        <v>168</v>
      </c>
      <c r="DL19" s="47" t="s">
        <v>169</v>
      </c>
      <c r="DM19" s="48" t="s">
        <v>172</v>
      </c>
      <c r="DN19" s="39">
        <v>0.13943552590740227</v>
      </c>
      <c r="DO19" s="36"/>
      <c r="DP19" s="34"/>
      <c r="DQ19" s="25"/>
      <c r="DR19" s="24">
        <v>868.221</v>
      </c>
      <c r="DS19" s="25">
        <v>993.221</v>
      </c>
      <c r="DT19" s="26">
        <v>1143.221</v>
      </c>
      <c r="DU19" s="25"/>
      <c r="DV19" s="44">
        <f t="shared" si="47"/>
        <v>4200.1064999999999</v>
      </c>
      <c r="DW19" s="25">
        <v>4068.1210000000001</v>
      </c>
      <c r="DX19" s="26">
        <v>4332.0919999999996</v>
      </c>
      <c r="DY19" s="25"/>
      <c r="DZ19" s="24">
        <v>861.14499999999998</v>
      </c>
      <c r="EA19" s="25">
        <v>993.41300000000001</v>
      </c>
      <c r="EB19" s="25">
        <v>1153.2070000000001</v>
      </c>
      <c r="EC19" s="26">
        <v>4649.4679999999998</v>
      </c>
      <c r="ED19" s="25"/>
      <c r="EE19" s="24">
        <v>529.952</v>
      </c>
      <c r="EF19" s="25">
        <v>45.734999999999999</v>
      </c>
      <c r="EG19" s="25">
        <v>701.29700000000003</v>
      </c>
      <c r="EH19" s="25">
        <v>137.57399999999998</v>
      </c>
      <c r="EI19" s="25">
        <v>816.50199999999995</v>
      </c>
      <c r="EJ19" s="25">
        <v>113.495</v>
      </c>
      <c r="EK19" s="25">
        <v>121.38200000000001</v>
      </c>
      <c r="EL19" s="25">
        <v>0</v>
      </c>
      <c r="EM19" s="26">
        <v>4250.76</v>
      </c>
      <c r="EN19" s="26">
        <f t="shared" si="48"/>
        <v>6716.6970000000001</v>
      </c>
      <c r="EO19" s="45"/>
      <c r="EP19" s="36">
        <f t="shared" si="49"/>
        <v>7.8900685857944755E-2</v>
      </c>
      <c r="EQ19" s="33">
        <f t="shared" si="50"/>
        <v>6.8091503904374427E-3</v>
      </c>
      <c r="ER19" s="33">
        <f t="shared" si="51"/>
        <v>0.10441099248633666</v>
      </c>
      <c r="ES19" s="33">
        <f t="shared" si="52"/>
        <v>2.0482388888467051E-2</v>
      </c>
      <c r="ET19" s="33">
        <f t="shared" si="53"/>
        <v>0.12156302420668967</v>
      </c>
      <c r="EU19" s="33">
        <f t="shared" si="54"/>
        <v>1.6897442299392097E-2</v>
      </c>
      <c r="EV19" s="33">
        <f t="shared" si="55"/>
        <v>1.8071680172561007E-2</v>
      </c>
      <c r="EW19" s="33">
        <f t="shared" si="56"/>
        <v>0</v>
      </c>
      <c r="EX19" s="33">
        <f t="shared" si="57"/>
        <v>0.63286463569817131</v>
      </c>
      <c r="EY19" s="39">
        <f t="shared" si="58"/>
        <v>0.99999999999999989</v>
      </c>
      <c r="EZ19" s="45"/>
      <c r="FA19" s="27">
        <v>124.16499999999999</v>
      </c>
      <c r="FB19" s="28">
        <v>271.57900000000001</v>
      </c>
      <c r="FC19" s="42">
        <f t="shared" si="59"/>
        <v>395.74400000000003</v>
      </c>
      <c r="FE19" s="27">
        <f>CB19</f>
        <v>47.234999999999999</v>
      </c>
      <c r="FF19" s="28">
        <f>CC19</f>
        <v>21.006999999999998</v>
      </c>
      <c r="FG19" s="42">
        <f t="shared" si="60"/>
        <v>68.24199999999999</v>
      </c>
      <c r="FI19" s="53">
        <v>5721.6030000000001</v>
      </c>
      <c r="FJ19" s="54">
        <v>885.28200000000004</v>
      </c>
      <c r="FK19" s="55">
        <v>385.505</v>
      </c>
      <c r="FL19" s="56">
        <f t="shared" si="61"/>
        <v>6992.39</v>
      </c>
      <c r="FM19" s="57">
        <f t="shared" si="62"/>
        <v>0.81826142420545767</v>
      </c>
      <c r="FN19" s="58">
        <f t="shared" si="63"/>
        <v>0.12660649649118541</v>
      </c>
      <c r="FO19" s="59">
        <f t="shared" si="64"/>
        <v>5.513207930335693E-2</v>
      </c>
      <c r="FP19" s="61">
        <f t="shared" si="65"/>
        <v>1</v>
      </c>
      <c r="FR19" s="24">
        <f>FV19*E19</f>
        <v>4391.08</v>
      </c>
      <c r="FS19" s="25">
        <f>E19*FW19</f>
        <v>2601.3100000000009</v>
      </c>
      <c r="FT19" s="26">
        <f t="shared" si="66"/>
        <v>6992.3900000000012</v>
      </c>
      <c r="FV19" s="36">
        <v>0.6279798466618709</v>
      </c>
      <c r="FW19" s="33">
        <v>0.3720201533381291</v>
      </c>
      <c r="FX19" s="34">
        <f t="shared" si="67"/>
        <v>1</v>
      </c>
      <c r="FY19" s="45"/>
      <c r="FZ19" s="44">
        <f t="shared" si="68"/>
        <v>863.19</v>
      </c>
      <c r="GA19" s="25">
        <v>842.98400000000004</v>
      </c>
      <c r="GB19" s="26">
        <v>883.39599999999996</v>
      </c>
      <c r="GD19" s="44">
        <f t="shared" si="69"/>
        <v>6696.826</v>
      </c>
      <c r="GE19" s="25">
        <v>6401.2619999999997</v>
      </c>
      <c r="GF19" s="26">
        <v>6992.39</v>
      </c>
      <c r="GH19" s="44">
        <f t="shared" si="70"/>
        <v>1064.6405</v>
      </c>
      <c r="GI19" s="25">
        <v>1004.229</v>
      </c>
      <c r="GJ19" s="26">
        <f>F19</f>
        <v>1125.0519999999999</v>
      </c>
      <c r="GL19" s="44">
        <f t="shared" si="71"/>
        <v>7761.4665000000005</v>
      </c>
      <c r="GM19" s="45">
        <f t="shared" si="72"/>
        <v>7405.491</v>
      </c>
      <c r="GN19" s="46">
        <f t="shared" si="73"/>
        <v>8117.442</v>
      </c>
      <c r="GP19" s="44">
        <f t="shared" si="74"/>
        <v>5127.7834999999995</v>
      </c>
      <c r="GQ19" s="25">
        <v>5099.3270000000002</v>
      </c>
      <c r="GR19" s="26">
        <f>G19</f>
        <v>5156.24</v>
      </c>
      <c r="GS19" s="25"/>
      <c r="GT19" s="44">
        <f t="shared" si="75"/>
        <v>8789.5600000000013</v>
      </c>
      <c r="GU19" s="25">
        <v>8444.5120000000006</v>
      </c>
      <c r="GV19" s="26">
        <f>C19</f>
        <v>9134.6080000000002</v>
      </c>
      <c r="GW19" s="25"/>
      <c r="GX19" s="61">
        <f>DX19/C19</f>
        <v>0.47425045497299934</v>
      </c>
      <c r="GY19" s="62"/>
    </row>
    <row r="20" spans="1:207" x14ac:dyDescent="0.25">
      <c r="A20" s="1"/>
      <c r="B20" s="23" t="s">
        <v>191</v>
      </c>
      <c r="C20" s="24">
        <v>13206.035</v>
      </c>
      <c r="D20" s="25">
        <f t="shared" si="0"/>
        <v>12809.046</v>
      </c>
      <c r="E20" s="25">
        <v>10085.275</v>
      </c>
      <c r="F20" s="25">
        <v>9461.9269999999997</v>
      </c>
      <c r="G20" s="25">
        <v>10028.962</v>
      </c>
      <c r="H20" s="25">
        <f t="shared" si="1"/>
        <v>22667.962</v>
      </c>
      <c r="I20" s="26">
        <f t="shared" si="2"/>
        <v>19547.201999999997</v>
      </c>
      <c r="J20" s="25"/>
      <c r="K20" s="27">
        <v>121.04900000000001</v>
      </c>
      <c r="L20" s="28">
        <v>52.409000000000006</v>
      </c>
      <c r="M20" s="28">
        <v>3.6000000000000004E-2</v>
      </c>
      <c r="N20" s="29">
        <f t="shared" si="3"/>
        <v>173.49400000000003</v>
      </c>
      <c r="O20" s="28">
        <v>75.128</v>
      </c>
      <c r="P20" s="29">
        <f t="shared" si="4"/>
        <v>98.366000000000028</v>
      </c>
      <c r="Q20" s="28">
        <v>-0.108</v>
      </c>
      <c r="R20" s="29">
        <f t="shared" si="5"/>
        <v>98.474000000000032</v>
      </c>
      <c r="S20" s="28">
        <v>21.062000000000001</v>
      </c>
      <c r="T20" s="28">
        <v>6.3889999999999993</v>
      </c>
      <c r="U20" s="28">
        <v>-6.1</v>
      </c>
      <c r="V20" s="29">
        <f t="shared" si="6"/>
        <v>119.82500000000003</v>
      </c>
      <c r="W20" s="28">
        <v>22.703000000000003</v>
      </c>
      <c r="X20" s="30">
        <f t="shared" si="7"/>
        <v>97.122000000000028</v>
      </c>
      <c r="Y20" s="28"/>
      <c r="Z20" s="31">
        <f t="shared" si="8"/>
        <v>1.8900548877722821E-2</v>
      </c>
      <c r="AA20" s="32">
        <f t="shared" si="9"/>
        <v>8.1831230834833457E-3</v>
      </c>
      <c r="AB20" s="33">
        <f t="shared" si="10"/>
        <v>0.3738734479583965</v>
      </c>
      <c r="AC20" s="33">
        <f t="shared" si="11"/>
        <v>0.38615103106560572</v>
      </c>
      <c r="AD20" s="33">
        <f t="shared" si="12"/>
        <v>0.43302938430147431</v>
      </c>
      <c r="AE20" s="32">
        <f t="shared" si="13"/>
        <v>1.1730459864067941E-2</v>
      </c>
      <c r="AF20" s="32">
        <f t="shared" si="14"/>
        <v>1.5164595396097418E-2</v>
      </c>
      <c r="AG20" s="32">
        <f>X20/DV20*2</f>
        <v>3.7692883645120197E-2</v>
      </c>
      <c r="AH20" s="32">
        <f>(P20+S20+T20)/DV20*2</f>
        <v>4.8829364526864025E-2</v>
      </c>
      <c r="AI20" s="32">
        <f>R20/DV20*2</f>
        <v>3.8217592554411629E-2</v>
      </c>
      <c r="AJ20" s="34">
        <f>X20/FZ20*2</f>
        <v>0.108067810264339</v>
      </c>
      <c r="AK20" s="35"/>
      <c r="AL20" s="36">
        <f t="shared" si="15"/>
        <v>6.7472363169069183E-2</v>
      </c>
      <c r="AM20" s="33">
        <f t="shared" si="16"/>
        <v>5.6145091342611933E-2</v>
      </c>
      <c r="AN20" s="34">
        <f t="shared" si="17"/>
        <v>6.9763706019414201E-2</v>
      </c>
      <c r="AO20" s="28"/>
      <c r="AP20" s="36">
        <f t="shared" si="18"/>
        <v>0.99441631487490423</v>
      </c>
      <c r="AQ20" s="33">
        <f t="shared" si="19"/>
        <v>0.89672711691974627</v>
      </c>
      <c r="AR20" s="33">
        <f t="shared" si="20"/>
        <v>-6.7536395292000964E-2</v>
      </c>
      <c r="AS20" s="33">
        <f t="shared" si="21"/>
        <v>0.43431813560996924</v>
      </c>
      <c r="AT20" s="33">
        <f t="shared" si="22"/>
        <v>0.1549964088388377</v>
      </c>
      <c r="AU20" s="37">
        <v>2.42</v>
      </c>
      <c r="AV20" s="38">
        <v>1.55</v>
      </c>
      <c r="AW20" s="28"/>
      <c r="AX20" s="36">
        <f>GB20/C20</f>
        <v>0.14130766728999281</v>
      </c>
      <c r="AY20" s="33">
        <v>0.1197</v>
      </c>
      <c r="AZ20" s="33">
        <f t="shared" si="23"/>
        <v>0.32724138918554263</v>
      </c>
      <c r="BA20" s="33">
        <f t="shared" si="24"/>
        <v>0.34146559799237619</v>
      </c>
      <c r="BB20" s="34">
        <f t="shared" si="25"/>
        <v>0.3556898067992097</v>
      </c>
      <c r="BC20" s="33"/>
      <c r="BD20" s="36">
        <f t="shared" si="26"/>
        <v>0.2238982395277177</v>
      </c>
      <c r="BE20" s="33">
        <f t="shared" si="27"/>
        <v>0.24055678144085962</v>
      </c>
      <c r="BF20" s="34">
        <f t="shared" si="28"/>
        <v>0.25963480437848474</v>
      </c>
      <c r="BG20" s="25"/>
      <c r="BH20" s="39">
        <v>1.7000000000000001E-2</v>
      </c>
      <c r="BI20" s="36">
        <f t="shared" si="29"/>
        <v>9.5625000000000016E-3</v>
      </c>
      <c r="BJ20" s="34">
        <f t="shared" si="30"/>
        <v>1.2750000000000001E-2</v>
      </c>
      <c r="BK20" s="39">
        <v>0.01</v>
      </c>
      <c r="BL20" s="33"/>
      <c r="BM20" s="39">
        <f t="shared" si="31"/>
        <v>7.4335739527717687E-2</v>
      </c>
      <c r="BN20" s="34">
        <f t="shared" si="32"/>
        <v>7.2806781440859614E-2</v>
      </c>
      <c r="BO20" s="34">
        <f t="shared" si="33"/>
        <v>6.7634804378484736E-2</v>
      </c>
      <c r="BP20" s="28"/>
      <c r="BQ20" s="31">
        <f>Q20/GD20*2</f>
        <v>-2.211632325955287E-5</v>
      </c>
      <c r="BR20" s="33">
        <f t="shared" si="34"/>
        <v>-8.583895657979445E-4</v>
      </c>
      <c r="BS20" s="32">
        <f>FC20/E20</f>
        <v>4.6278361274233971E-3</v>
      </c>
      <c r="BT20" s="33">
        <f t="shared" si="35"/>
        <v>2.4882990287887343E-2</v>
      </c>
      <c r="BU20" s="33">
        <f t="shared" si="36"/>
        <v>0.86509401082270931</v>
      </c>
      <c r="BV20" s="34">
        <f t="shared" si="37"/>
        <v>0.93039597176107358</v>
      </c>
      <c r="BW20" s="28"/>
      <c r="BX20" s="27">
        <v>12.776999999999999</v>
      </c>
      <c r="BY20" s="28">
        <v>523.01599999999996</v>
      </c>
      <c r="BZ20" s="29">
        <f t="shared" si="38"/>
        <v>535.79300000000001</v>
      </c>
      <c r="CA20" s="25">
        <v>10085.275</v>
      </c>
      <c r="CB20" s="28">
        <v>4.3049999999999997</v>
      </c>
      <c r="CC20" s="28">
        <v>5.2799999999999994</v>
      </c>
      <c r="CD20" s="29">
        <f t="shared" si="39"/>
        <v>10075.689999999999</v>
      </c>
      <c r="CE20" s="28">
        <v>1499.8119999999999</v>
      </c>
      <c r="CF20" s="28">
        <v>1051.4670000000001</v>
      </c>
      <c r="CG20" s="29">
        <f t="shared" si="40"/>
        <v>2551.279</v>
      </c>
      <c r="CH20" s="28">
        <v>0</v>
      </c>
      <c r="CI20" s="28">
        <v>0</v>
      </c>
      <c r="CJ20" s="28">
        <v>22.661999999999999</v>
      </c>
      <c r="CK20" s="28">
        <v>20.611000000001503</v>
      </c>
      <c r="CL20" s="29">
        <f t="shared" si="41"/>
        <v>13206.035</v>
      </c>
      <c r="CM20" s="28">
        <v>0</v>
      </c>
      <c r="CN20" s="25">
        <v>10028.962</v>
      </c>
      <c r="CO20" s="29">
        <f t="shared" si="42"/>
        <v>10028.962</v>
      </c>
      <c r="CP20" s="28">
        <v>1004.657</v>
      </c>
      <c r="CQ20" s="28">
        <v>155.95900000000006</v>
      </c>
      <c r="CR20" s="29">
        <f t="shared" si="43"/>
        <v>1160.616</v>
      </c>
      <c r="CS20" s="28">
        <v>150.34300000000002</v>
      </c>
      <c r="CT20" s="28">
        <v>1866.114</v>
      </c>
      <c r="CU20" s="42">
        <f t="shared" si="44"/>
        <v>13206.035</v>
      </c>
      <c r="CV20" s="28"/>
      <c r="CW20" s="43">
        <v>2046.8879999999999</v>
      </c>
      <c r="CX20" s="28"/>
      <c r="CY20" s="24">
        <v>301</v>
      </c>
      <c r="CZ20" s="25">
        <v>0</v>
      </c>
      <c r="DA20" s="25">
        <v>300</v>
      </c>
      <c r="DB20" s="25">
        <v>275</v>
      </c>
      <c r="DC20" s="25">
        <v>275</v>
      </c>
      <c r="DD20" s="25">
        <v>0</v>
      </c>
      <c r="DE20" s="26">
        <f t="shared" si="45"/>
        <v>1151</v>
      </c>
      <c r="DF20" s="34">
        <f t="shared" si="46"/>
        <v>8.7157121725029499E-2</v>
      </c>
      <c r="DG20" s="68"/>
      <c r="DH20" s="44" t="s">
        <v>235</v>
      </c>
      <c r="DI20" s="45">
        <v>63.95</v>
      </c>
      <c r="DJ20" s="46">
        <v>8</v>
      </c>
      <c r="DK20" s="45" t="s">
        <v>168</v>
      </c>
      <c r="DL20" s="47" t="s">
        <v>169</v>
      </c>
      <c r="DM20" s="48" t="s">
        <v>170</v>
      </c>
      <c r="DN20" s="39">
        <v>0.15465379084921918</v>
      </c>
      <c r="DO20" s="66" t="s">
        <v>178</v>
      </c>
      <c r="DP20" s="67" t="s">
        <v>174</v>
      </c>
      <c r="DQ20" s="25"/>
      <c r="DR20" s="24">
        <v>1725.4459999999999</v>
      </c>
      <c r="DS20" s="25">
        <v>1800.4459999999999</v>
      </c>
      <c r="DT20" s="26">
        <v>1875.4459999999999</v>
      </c>
      <c r="DU20" s="25"/>
      <c r="DV20" s="44">
        <f t="shared" si="47"/>
        <v>5153.3335000000006</v>
      </c>
      <c r="DW20" s="25">
        <v>5033.9660000000003</v>
      </c>
      <c r="DX20" s="26">
        <v>5272.701</v>
      </c>
      <c r="DY20" s="25"/>
      <c r="DZ20" s="24">
        <v>1734.288</v>
      </c>
      <c r="EA20" s="25">
        <v>1863.3230000000001</v>
      </c>
      <c r="EB20" s="25">
        <v>2011.0989999999999</v>
      </c>
      <c r="EC20" s="26">
        <v>7745.8760000000002</v>
      </c>
      <c r="ED20" s="25"/>
      <c r="EE20" s="24">
        <v>0.87</v>
      </c>
      <c r="EF20" s="25">
        <v>0</v>
      </c>
      <c r="EG20" s="25">
        <v>0.23</v>
      </c>
      <c r="EH20" s="25">
        <v>0</v>
      </c>
      <c r="EI20" s="25">
        <v>1254.3</v>
      </c>
      <c r="EJ20" s="25">
        <v>0</v>
      </c>
      <c r="EK20" s="25">
        <v>0</v>
      </c>
      <c r="EL20" s="25">
        <v>0</v>
      </c>
      <c r="EM20" s="26">
        <v>8088.0879999999997</v>
      </c>
      <c r="EN20" s="26">
        <f t="shared" si="48"/>
        <v>9343.4879999999994</v>
      </c>
      <c r="EO20" s="45"/>
      <c r="EP20" s="36">
        <f t="shared" si="49"/>
        <v>9.3112978793358551E-5</v>
      </c>
      <c r="EQ20" s="33">
        <f t="shared" si="50"/>
        <v>0</v>
      </c>
      <c r="ER20" s="33">
        <f t="shared" si="51"/>
        <v>2.461607485341663E-5</v>
      </c>
      <c r="ES20" s="33">
        <f t="shared" si="52"/>
        <v>0</v>
      </c>
      <c r="ET20" s="33">
        <f t="shared" si="53"/>
        <v>0.13424322908104555</v>
      </c>
      <c r="EU20" s="33">
        <f t="shared" si="54"/>
        <v>0</v>
      </c>
      <c r="EV20" s="33">
        <f t="shared" si="55"/>
        <v>0</v>
      </c>
      <c r="EW20" s="33">
        <f t="shared" si="56"/>
        <v>0</v>
      </c>
      <c r="EX20" s="33">
        <f t="shared" si="57"/>
        <v>0.86563904186530771</v>
      </c>
      <c r="EY20" s="39">
        <f t="shared" si="58"/>
        <v>1</v>
      </c>
      <c r="EZ20" s="45"/>
      <c r="FA20" s="27">
        <v>44.838999999999999</v>
      </c>
      <c r="FB20" s="28">
        <v>1.8340000000000001</v>
      </c>
      <c r="FC20" s="42">
        <f t="shared" si="59"/>
        <v>46.673000000000002</v>
      </c>
      <c r="FE20" s="27">
        <f>CB20</f>
        <v>4.3049999999999997</v>
      </c>
      <c r="FF20" s="28">
        <f>CC20</f>
        <v>5.2799999999999994</v>
      </c>
      <c r="FG20" s="42">
        <f t="shared" si="60"/>
        <v>9.5849999999999991</v>
      </c>
      <c r="FI20" s="53">
        <v>9628.8230000000003</v>
      </c>
      <c r="FJ20" s="54">
        <v>409.76499999999999</v>
      </c>
      <c r="FK20" s="55">
        <v>46.683999999999997</v>
      </c>
      <c r="FL20" s="56">
        <f t="shared" si="61"/>
        <v>10085.271999999999</v>
      </c>
      <c r="FM20" s="57">
        <f t="shared" si="62"/>
        <v>0.95474103226963059</v>
      </c>
      <c r="FN20" s="58">
        <f t="shared" si="63"/>
        <v>4.0630039526945827E-2</v>
      </c>
      <c r="FO20" s="59">
        <f t="shared" si="64"/>
        <v>4.6289282034237648E-3</v>
      </c>
      <c r="FP20" s="61">
        <f t="shared" si="65"/>
        <v>1.0000000000000002</v>
      </c>
      <c r="FR20" s="24">
        <f>FV20*E20</f>
        <v>8724.7109999999993</v>
      </c>
      <c r="FS20" s="25">
        <f>E20*FW20</f>
        <v>1360.5640000000003</v>
      </c>
      <c r="FT20" s="26">
        <f t="shared" si="66"/>
        <v>10085.275</v>
      </c>
      <c r="FV20" s="36">
        <v>0.86509401082270931</v>
      </c>
      <c r="FW20" s="33">
        <v>0.13490598917729069</v>
      </c>
      <c r="FX20" s="34">
        <f t="shared" si="67"/>
        <v>1</v>
      </c>
      <c r="FY20" s="45"/>
      <c r="FZ20" s="44">
        <f t="shared" si="68"/>
        <v>1797.4270000000001</v>
      </c>
      <c r="GA20" s="25">
        <v>1728.74</v>
      </c>
      <c r="GB20" s="26">
        <v>1866.114</v>
      </c>
      <c r="GD20" s="44">
        <f t="shared" si="69"/>
        <v>9766.5419999999995</v>
      </c>
      <c r="GE20" s="25">
        <v>9447.8089999999993</v>
      </c>
      <c r="GF20" s="26">
        <v>10085.275</v>
      </c>
      <c r="GH20" s="44">
        <f t="shared" si="70"/>
        <v>9261.0914999999986</v>
      </c>
      <c r="GI20" s="25">
        <v>9060.2559999999994</v>
      </c>
      <c r="GJ20" s="26">
        <f>F20</f>
        <v>9461.9269999999997</v>
      </c>
      <c r="GL20" s="44">
        <f t="shared" si="71"/>
        <v>19027.633499999996</v>
      </c>
      <c r="GM20" s="45">
        <f t="shared" si="72"/>
        <v>18508.064999999999</v>
      </c>
      <c r="GN20" s="46">
        <f t="shared" si="73"/>
        <v>19547.201999999997</v>
      </c>
      <c r="GP20" s="44">
        <f t="shared" si="74"/>
        <v>9701.9470000000001</v>
      </c>
      <c r="GQ20" s="25">
        <v>9374.9320000000007</v>
      </c>
      <c r="GR20" s="26">
        <f>G20</f>
        <v>10028.962</v>
      </c>
      <c r="GS20" s="25"/>
      <c r="GT20" s="44">
        <f t="shared" si="75"/>
        <v>12809.046</v>
      </c>
      <c r="GU20" s="25">
        <v>12412.057000000001</v>
      </c>
      <c r="GV20" s="26">
        <f>C20</f>
        <v>13206.035</v>
      </c>
      <c r="GW20" s="25"/>
      <c r="GX20" s="61">
        <f>DX20/C20</f>
        <v>0.39926450293369659</v>
      </c>
      <c r="GY20" s="62"/>
    </row>
    <row r="21" spans="1:207" x14ac:dyDescent="0.25">
      <c r="A21" s="1"/>
      <c r="B21" s="23" t="s">
        <v>192</v>
      </c>
      <c r="C21" s="24">
        <v>19996.973999999998</v>
      </c>
      <c r="D21" s="25">
        <f t="shared" si="0"/>
        <v>19019.311000000002</v>
      </c>
      <c r="E21" s="25">
        <v>16035.657999999999</v>
      </c>
      <c r="F21" s="25">
        <v>7875.2089999999998</v>
      </c>
      <c r="G21" s="25">
        <v>13152.712</v>
      </c>
      <c r="H21" s="25">
        <f t="shared" si="1"/>
        <v>27872.182999999997</v>
      </c>
      <c r="I21" s="26">
        <f t="shared" si="2"/>
        <v>23910.866999999998</v>
      </c>
      <c r="J21" s="25"/>
      <c r="K21" s="27">
        <v>205.41199999999998</v>
      </c>
      <c r="L21" s="28">
        <v>57.47</v>
      </c>
      <c r="M21" s="28">
        <v>0.23899999999999999</v>
      </c>
      <c r="N21" s="29">
        <f t="shared" si="3"/>
        <v>263.12099999999992</v>
      </c>
      <c r="O21" s="28">
        <v>107.34399999999999</v>
      </c>
      <c r="P21" s="29">
        <f t="shared" si="4"/>
        <v>155.77699999999993</v>
      </c>
      <c r="Q21" s="28">
        <v>-0.60599999999999998</v>
      </c>
      <c r="R21" s="29">
        <f t="shared" si="5"/>
        <v>156.38299999999992</v>
      </c>
      <c r="S21" s="28">
        <v>34.912999999999997</v>
      </c>
      <c r="T21" s="28">
        <v>8.6989999999999998</v>
      </c>
      <c r="U21" s="28">
        <v>0</v>
      </c>
      <c r="V21" s="29">
        <f t="shared" si="6"/>
        <v>199.99499999999995</v>
      </c>
      <c r="W21" s="28">
        <v>19.138000000000002</v>
      </c>
      <c r="X21" s="30">
        <f t="shared" si="7"/>
        <v>180.85699999999994</v>
      </c>
      <c r="Y21" s="28"/>
      <c r="Z21" s="31">
        <f t="shared" si="8"/>
        <v>2.1600361863792012E-2</v>
      </c>
      <c r="AA21" s="32">
        <f t="shared" si="9"/>
        <v>6.043331432984086E-3</v>
      </c>
      <c r="AB21" s="33">
        <f t="shared" si="10"/>
        <v>0.34995908493706257</v>
      </c>
      <c r="AC21" s="33">
        <f t="shared" si="11"/>
        <v>0.36017367146030327</v>
      </c>
      <c r="AD21" s="33">
        <f t="shared" si="12"/>
        <v>0.40796439660840461</v>
      </c>
      <c r="AE21" s="32">
        <f t="shared" si="13"/>
        <v>1.1287895760261766E-2</v>
      </c>
      <c r="AF21" s="32">
        <f t="shared" si="14"/>
        <v>1.9018249399255307E-2</v>
      </c>
      <c r="AG21" s="32">
        <f>X21/DV21*2</f>
        <v>3.9054905703382714E-2</v>
      </c>
      <c r="AH21" s="32">
        <f>(P21+S21+T21)/DV21*2</f>
        <v>4.3056771887689034E-2</v>
      </c>
      <c r="AI21" s="32">
        <f>R21/DV21*2</f>
        <v>3.3769902843750019E-2</v>
      </c>
      <c r="AJ21" s="34">
        <f>X21/FZ21*2</f>
        <v>0.15056181692816242</v>
      </c>
      <c r="AK21" s="35"/>
      <c r="AL21" s="36">
        <f t="shared" si="15"/>
        <v>0.10045269400490285</v>
      </c>
      <c r="AM21" s="33">
        <f t="shared" si="16"/>
        <v>0.11077030451423245</v>
      </c>
      <c r="AN21" s="34">
        <f t="shared" si="17"/>
        <v>9.7931764463311782E-2</v>
      </c>
      <c r="AO21" s="28"/>
      <c r="AP21" s="36">
        <f t="shared" si="18"/>
        <v>0.82021654490261642</v>
      </c>
      <c r="AQ21" s="33">
        <f t="shared" si="19"/>
        <v>0.75567724078749343</v>
      </c>
      <c r="AR21" s="33">
        <f t="shared" si="20"/>
        <v>7.2373250072736012E-2</v>
      </c>
      <c r="AS21" s="33">
        <f t="shared" si="21"/>
        <v>0.39201658710962972</v>
      </c>
      <c r="AT21" s="33">
        <f t="shared" si="22"/>
        <v>0.1402832248519201</v>
      </c>
      <c r="AU21" s="37">
        <v>1.93</v>
      </c>
      <c r="AV21" s="38">
        <v>1.3160000000000001</v>
      </c>
      <c r="AW21" s="28"/>
      <c r="AX21" s="36">
        <f>GB21/C21</f>
        <v>0.12290059486000232</v>
      </c>
      <c r="AY21" s="33">
        <v>0.109</v>
      </c>
      <c r="AZ21" s="33">
        <f t="shared" si="23"/>
        <v>0.22676787215405247</v>
      </c>
      <c r="BA21" s="33">
        <f t="shared" si="24"/>
        <v>0.24199478204251942</v>
      </c>
      <c r="BB21" s="34">
        <f t="shared" si="25"/>
        <v>0.26229732856047533</v>
      </c>
      <c r="BC21" s="33"/>
      <c r="BD21" s="36">
        <f t="shared" si="26"/>
        <v>0.18711567858119219</v>
      </c>
      <c r="BE21" s="33">
        <f t="shared" si="27"/>
        <v>0.20348002202448107</v>
      </c>
      <c r="BF21" s="34">
        <f t="shared" si="28"/>
        <v>0.22535132278303327</v>
      </c>
      <c r="BG21" s="25"/>
      <c r="BH21" s="39">
        <v>1.7999999999999999E-2</v>
      </c>
      <c r="BI21" s="36">
        <f t="shared" si="29"/>
        <v>1.0124999999999999E-2</v>
      </c>
      <c r="BJ21" s="34">
        <f t="shared" si="30"/>
        <v>1.3499999999999998E-2</v>
      </c>
      <c r="BK21" s="39">
        <v>0.01</v>
      </c>
      <c r="BL21" s="33"/>
      <c r="BM21" s="39">
        <f t="shared" si="31"/>
        <v>3.6990678581192177E-2</v>
      </c>
      <c r="BN21" s="34">
        <f t="shared" si="32"/>
        <v>3.4980022024481083E-2</v>
      </c>
      <c r="BO21" s="34">
        <f t="shared" si="33"/>
        <v>3.2351322783033265E-2</v>
      </c>
      <c r="BP21" s="28"/>
      <c r="BQ21" s="31">
        <f>Q21/GD21*2</f>
        <v>-7.9196192623436616E-5</v>
      </c>
      <c r="BR21" s="33">
        <f t="shared" si="34"/>
        <v>-3.0392850157230345E-3</v>
      </c>
      <c r="BS21" s="32">
        <f>FC21/E21</f>
        <v>6.6607182567749949E-3</v>
      </c>
      <c r="BT21" s="33">
        <f t="shared" si="35"/>
        <v>4.2903244465224796E-2</v>
      </c>
      <c r="BU21" s="33">
        <f t="shared" si="36"/>
        <v>0.62378824741710004</v>
      </c>
      <c r="BV21" s="34">
        <f t="shared" si="37"/>
        <v>0.74769618349681755</v>
      </c>
      <c r="BW21" s="28"/>
      <c r="BX21" s="27">
        <v>34.180999999999997</v>
      </c>
      <c r="BY21" s="28">
        <v>922.99199999999996</v>
      </c>
      <c r="BZ21" s="29">
        <f t="shared" si="38"/>
        <v>957.173</v>
      </c>
      <c r="CA21" s="25">
        <v>16035.657999999999</v>
      </c>
      <c r="CB21" s="28">
        <v>8.0630000000000006</v>
      </c>
      <c r="CC21" s="28">
        <v>23.829000000000001</v>
      </c>
      <c r="CD21" s="29">
        <f t="shared" si="39"/>
        <v>16003.766</v>
      </c>
      <c r="CE21" s="28">
        <v>1848.067</v>
      </c>
      <c r="CF21" s="28">
        <v>1063.998</v>
      </c>
      <c r="CG21" s="29">
        <f t="shared" si="40"/>
        <v>2912.0650000000001</v>
      </c>
      <c r="CH21" s="28">
        <v>2.593</v>
      </c>
      <c r="CI21" s="28">
        <v>0</v>
      </c>
      <c r="CJ21" s="28">
        <v>90.072000000000003</v>
      </c>
      <c r="CK21" s="28">
        <v>31.304999999999794</v>
      </c>
      <c r="CL21" s="29">
        <f t="shared" si="41"/>
        <v>19996.973999999998</v>
      </c>
      <c r="CM21" s="28">
        <v>0.32100000000000001</v>
      </c>
      <c r="CN21" s="25">
        <v>13152.712</v>
      </c>
      <c r="CO21" s="29">
        <f t="shared" si="42"/>
        <v>13153.032999999999</v>
      </c>
      <c r="CP21" s="28">
        <v>3901.22</v>
      </c>
      <c r="CQ21" s="28">
        <v>134.13599999999906</v>
      </c>
      <c r="CR21" s="29">
        <f t="shared" si="43"/>
        <v>4035.3559999999989</v>
      </c>
      <c r="CS21" s="28">
        <v>350.94499999999999</v>
      </c>
      <c r="CT21" s="28">
        <v>2457.64</v>
      </c>
      <c r="CU21" s="42">
        <f t="shared" si="44"/>
        <v>19996.973999999998</v>
      </c>
      <c r="CV21" s="28"/>
      <c r="CW21" s="43">
        <v>2805.24</v>
      </c>
      <c r="CX21" s="28"/>
      <c r="CY21" s="24">
        <v>1000</v>
      </c>
      <c r="CZ21" s="25">
        <v>500</v>
      </c>
      <c r="DA21" s="25">
        <v>500</v>
      </c>
      <c r="DB21" s="25">
        <v>750</v>
      </c>
      <c r="DC21" s="25">
        <v>1000</v>
      </c>
      <c r="DD21" s="25">
        <v>500</v>
      </c>
      <c r="DE21" s="26">
        <f t="shared" si="45"/>
        <v>4250</v>
      </c>
      <c r="DF21" s="34">
        <f t="shared" si="46"/>
        <v>0.21253215611522025</v>
      </c>
      <c r="DG21" s="68"/>
      <c r="DH21" s="44" t="s">
        <v>236</v>
      </c>
      <c r="DI21" s="45">
        <v>94</v>
      </c>
      <c r="DJ21" s="46">
        <v>4</v>
      </c>
      <c r="DK21" s="45" t="s">
        <v>168</v>
      </c>
      <c r="DL21" s="47" t="s">
        <v>169</v>
      </c>
      <c r="DM21" s="48" t="s">
        <v>172</v>
      </c>
      <c r="DN21" s="39">
        <v>0.51814505585569637</v>
      </c>
      <c r="DO21" s="66" t="s">
        <v>178</v>
      </c>
      <c r="DP21" s="67" t="s">
        <v>174</v>
      </c>
      <c r="DQ21" s="25"/>
      <c r="DR21" s="24">
        <v>2233.886</v>
      </c>
      <c r="DS21" s="25">
        <v>2383.886</v>
      </c>
      <c r="DT21" s="26">
        <v>2583.886</v>
      </c>
      <c r="DU21" s="25"/>
      <c r="DV21" s="44">
        <f t="shared" si="47"/>
        <v>9261.6790000000001</v>
      </c>
      <c r="DW21" s="25">
        <v>8672.3770000000004</v>
      </c>
      <c r="DX21" s="26">
        <v>9850.9809999999998</v>
      </c>
      <c r="DY21" s="25"/>
      <c r="DZ21" s="24">
        <v>2235.4160000000002</v>
      </c>
      <c r="EA21" s="25">
        <v>2430.9160000000002</v>
      </c>
      <c r="EB21" s="25">
        <v>2692.2060000000001</v>
      </c>
      <c r="EC21" s="26">
        <v>11946.706</v>
      </c>
      <c r="ED21" s="25"/>
      <c r="EE21" s="24">
        <v>2810.8669999999997</v>
      </c>
      <c r="EF21" s="25">
        <v>152.851</v>
      </c>
      <c r="EG21" s="25">
        <v>403.44799999999998</v>
      </c>
      <c r="EH21" s="25">
        <v>85.382000000000005</v>
      </c>
      <c r="EI21" s="25">
        <v>2077.9079999999999</v>
      </c>
      <c r="EJ21" s="25">
        <v>85.741</v>
      </c>
      <c r="EK21" s="25">
        <v>73.807000000000002</v>
      </c>
      <c r="EL21" s="25">
        <v>5.6179999999985739</v>
      </c>
      <c r="EM21" s="26">
        <v>9636.9290000000001</v>
      </c>
      <c r="EN21" s="26">
        <f t="shared" si="48"/>
        <v>15332.550999999998</v>
      </c>
      <c r="EO21" s="45"/>
      <c r="EP21" s="36">
        <f t="shared" si="49"/>
        <v>0.18332676669394415</v>
      </c>
      <c r="EQ21" s="33">
        <f t="shared" si="50"/>
        <v>9.969052116637343E-3</v>
      </c>
      <c r="ER21" s="33">
        <f t="shared" si="51"/>
        <v>2.6313168630582088E-2</v>
      </c>
      <c r="ES21" s="33">
        <f t="shared" si="52"/>
        <v>5.5686754278528091E-3</v>
      </c>
      <c r="ET21" s="33">
        <f t="shared" si="53"/>
        <v>0.13552265373191977</v>
      </c>
      <c r="EU21" s="33">
        <f t="shared" si="54"/>
        <v>5.5920896659662185E-3</v>
      </c>
      <c r="EV21" s="33">
        <f t="shared" si="55"/>
        <v>4.8137456056725342E-3</v>
      </c>
      <c r="EW21" s="33">
        <f t="shared" si="56"/>
        <v>3.6640999922312828E-4</v>
      </c>
      <c r="EX21" s="33">
        <f t="shared" si="57"/>
        <v>0.628527438128202</v>
      </c>
      <c r="EY21" s="39">
        <f t="shared" si="58"/>
        <v>1</v>
      </c>
      <c r="EZ21" s="45"/>
      <c r="FA21" s="27">
        <v>22.974</v>
      </c>
      <c r="FB21" s="28">
        <v>83.834999999999994</v>
      </c>
      <c r="FC21" s="42">
        <f t="shared" si="59"/>
        <v>106.809</v>
      </c>
      <c r="FE21" s="27">
        <f>CB21</f>
        <v>8.0630000000000006</v>
      </c>
      <c r="FF21" s="28">
        <f>CC21</f>
        <v>23.829000000000001</v>
      </c>
      <c r="FG21" s="42">
        <f t="shared" si="60"/>
        <v>31.892000000000003</v>
      </c>
      <c r="FI21" s="53">
        <v>14637.414000000001</v>
      </c>
      <c r="FJ21" s="54">
        <v>994.08900000000006</v>
      </c>
      <c r="FK21" s="55">
        <v>95.992999999999995</v>
      </c>
      <c r="FL21" s="56">
        <f t="shared" si="61"/>
        <v>15727.496000000001</v>
      </c>
      <c r="FM21" s="57">
        <f t="shared" si="62"/>
        <v>0.9306894117156348</v>
      </c>
      <c r="FN21" s="58">
        <f t="shared" si="63"/>
        <v>6.3207073777033551E-2</v>
      </c>
      <c r="FO21" s="59">
        <f t="shared" si="64"/>
        <v>6.1035145073316177E-3</v>
      </c>
      <c r="FP21" s="61">
        <f t="shared" si="65"/>
        <v>1</v>
      </c>
      <c r="FR21" s="24">
        <f>FV21*E21</f>
        <v>10002.855</v>
      </c>
      <c r="FS21" s="25">
        <f>E21*FW21</f>
        <v>6032.8029999999999</v>
      </c>
      <c r="FT21" s="26">
        <f t="shared" si="66"/>
        <v>16035.657999999999</v>
      </c>
      <c r="FV21" s="36">
        <v>0.62378824741710004</v>
      </c>
      <c r="FW21" s="33">
        <v>0.37621175258289996</v>
      </c>
      <c r="FX21" s="34">
        <f t="shared" si="67"/>
        <v>1</v>
      </c>
      <c r="FY21" s="45"/>
      <c r="FZ21" s="44">
        <f t="shared" si="68"/>
        <v>2402.4285</v>
      </c>
      <c r="GA21" s="25">
        <v>2347.2170000000001</v>
      </c>
      <c r="GB21" s="26">
        <v>2457.64</v>
      </c>
      <c r="GD21" s="44">
        <f t="shared" si="69"/>
        <v>15303.766</v>
      </c>
      <c r="GE21" s="25">
        <v>14571.874</v>
      </c>
      <c r="GF21" s="26">
        <v>16035.657999999999</v>
      </c>
      <c r="GH21" s="44">
        <f t="shared" si="70"/>
        <v>7414.8590000000004</v>
      </c>
      <c r="GI21" s="25">
        <v>6954.509</v>
      </c>
      <c r="GJ21" s="26">
        <f>F21</f>
        <v>7875.2089999999998</v>
      </c>
      <c r="GL21" s="44">
        <f t="shared" si="71"/>
        <v>22718.625</v>
      </c>
      <c r="GM21" s="45">
        <f t="shared" si="72"/>
        <v>21526.383000000002</v>
      </c>
      <c r="GN21" s="46">
        <f t="shared" si="73"/>
        <v>23910.866999999998</v>
      </c>
      <c r="GP21" s="44">
        <f t="shared" si="74"/>
        <v>12566.1235</v>
      </c>
      <c r="GQ21" s="25">
        <v>11979.535</v>
      </c>
      <c r="GR21" s="26">
        <f>G21</f>
        <v>13152.712</v>
      </c>
      <c r="GS21" s="25"/>
      <c r="GT21" s="44">
        <f t="shared" si="75"/>
        <v>19019.311000000002</v>
      </c>
      <c r="GU21" s="25">
        <v>18041.648000000001</v>
      </c>
      <c r="GV21" s="26">
        <f>C21</f>
        <v>19996.973999999998</v>
      </c>
      <c r="GW21" s="25"/>
      <c r="GX21" s="61">
        <f>DX21/C21</f>
        <v>0.4926235839482514</v>
      </c>
      <c r="GY21" s="62"/>
    </row>
    <row r="22" spans="1:207" x14ac:dyDescent="0.25">
      <c r="A22" s="1"/>
      <c r="B22" s="23" t="s">
        <v>193</v>
      </c>
      <c r="C22" s="24">
        <v>3976.1909999999998</v>
      </c>
      <c r="D22" s="25">
        <f t="shared" si="0"/>
        <v>3847.7784999999999</v>
      </c>
      <c r="E22" s="25">
        <v>2942.3780000000002</v>
      </c>
      <c r="F22" s="25">
        <v>1509.4770000000001</v>
      </c>
      <c r="G22" s="25">
        <v>2859.444</v>
      </c>
      <c r="H22" s="25">
        <f t="shared" si="1"/>
        <v>5485.6679999999997</v>
      </c>
      <c r="I22" s="26">
        <f t="shared" si="2"/>
        <v>4451.8550000000005</v>
      </c>
      <c r="J22" s="25"/>
      <c r="K22" s="27">
        <v>44.067999999999998</v>
      </c>
      <c r="L22" s="28">
        <v>12.404</v>
      </c>
      <c r="M22" s="28">
        <v>0.16599999999999998</v>
      </c>
      <c r="N22" s="29">
        <f t="shared" si="3"/>
        <v>56.637999999999991</v>
      </c>
      <c r="O22" s="28">
        <v>33.200000000000003</v>
      </c>
      <c r="P22" s="29">
        <f t="shared" si="4"/>
        <v>23.437999999999988</v>
      </c>
      <c r="Q22" s="28">
        <v>1.1829999999999998</v>
      </c>
      <c r="R22" s="29">
        <f t="shared" si="5"/>
        <v>22.254999999999988</v>
      </c>
      <c r="S22" s="28">
        <v>8.3869999999999987</v>
      </c>
      <c r="T22" s="28">
        <v>0.79</v>
      </c>
      <c r="U22" s="28">
        <v>-0.8</v>
      </c>
      <c r="V22" s="29">
        <f t="shared" si="6"/>
        <v>30.631999999999987</v>
      </c>
      <c r="W22" s="28">
        <v>5.63</v>
      </c>
      <c r="X22" s="30">
        <f t="shared" si="7"/>
        <v>25.001999999999988</v>
      </c>
      <c r="Y22" s="28"/>
      <c r="Z22" s="31">
        <f t="shared" si="8"/>
        <v>2.2905684409848436E-2</v>
      </c>
      <c r="AA22" s="32">
        <f t="shared" si="9"/>
        <v>6.4473565721103751E-3</v>
      </c>
      <c r="AB22" s="33">
        <f t="shared" si="10"/>
        <v>0.50444427562105909</v>
      </c>
      <c r="AC22" s="33">
        <f t="shared" si="11"/>
        <v>0.51057285659361795</v>
      </c>
      <c r="AD22" s="33">
        <f t="shared" si="12"/>
        <v>0.58617889049754601</v>
      </c>
      <c r="AE22" s="32">
        <f t="shared" si="13"/>
        <v>1.7256710592878463E-2</v>
      </c>
      <c r="AF22" s="32">
        <f t="shared" si="14"/>
        <v>1.2995550549492384E-2</v>
      </c>
      <c r="AG22" s="32">
        <f>X22/DV22*2</f>
        <v>2.9743022993681287E-2</v>
      </c>
      <c r="AH22" s="32">
        <f>(P22+S22+T22)/DV22*2</f>
        <v>3.8799643826050528E-2</v>
      </c>
      <c r="AI22" s="32">
        <f>R22/DV22*2</f>
        <v>2.6475121059290337E-2</v>
      </c>
      <c r="AJ22" s="34">
        <f>X22/FZ22*2</f>
        <v>9.5050272819982476E-2</v>
      </c>
      <c r="AK22" s="35"/>
      <c r="AL22" s="36">
        <f t="shared" si="15"/>
        <v>4.6011482607227414E-2</v>
      </c>
      <c r="AM22" s="33">
        <f t="shared" si="16"/>
        <v>8.2786227152697706E-2</v>
      </c>
      <c r="AN22" s="34">
        <f t="shared" si="17"/>
        <v>7.5350468827388037E-2</v>
      </c>
      <c r="AO22" s="28"/>
      <c r="AP22" s="36">
        <f t="shared" si="18"/>
        <v>0.97181395456328179</v>
      </c>
      <c r="AQ22" s="33">
        <f t="shared" si="19"/>
        <v>0.83941213286191863</v>
      </c>
      <c r="AR22" s="33">
        <f t="shared" si="20"/>
        <v>-6.8236661669421855E-2</v>
      </c>
      <c r="AS22" s="33">
        <f t="shared" si="21"/>
        <v>0.30960547418371004</v>
      </c>
      <c r="AT22" s="33">
        <f t="shared" si="22"/>
        <v>0.20581556570094348</v>
      </c>
      <c r="AU22" s="37">
        <v>5.69</v>
      </c>
      <c r="AV22" s="38">
        <v>1.51</v>
      </c>
      <c r="AW22" s="28"/>
      <c r="AX22" s="36">
        <f>GB22/C22</f>
        <v>0.13651733530909355</v>
      </c>
      <c r="AY22" s="33">
        <v>0.1244</v>
      </c>
      <c r="AZ22" s="33">
        <f t="shared" si="23"/>
        <v>0.3064081820334254</v>
      </c>
      <c r="BA22" s="33">
        <f t="shared" si="24"/>
        <v>0.31833603996309517</v>
      </c>
      <c r="BB22" s="34">
        <f t="shared" si="25"/>
        <v>0.33026389789276495</v>
      </c>
      <c r="BC22" s="33"/>
      <c r="BD22" s="36">
        <f t="shared" si="26"/>
        <v>0.24877486796297293</v>
      </c>
      <c r="BE22" s="33">
        <f t="shared" si="27"/>
        <v>0.26273490280126421</v>
      </c>
      <c r="BF22" s="34">
        <f t="shared" si="28"/>
        <v>0.27817609815984229</v>
      </c>
      <c r="BG22" s="25"/>
      <c r="BH22" s="39">
        <v>1.6E-2</v>
      </c>
      <c r="BI22" s="36">
        <f t="shared" si="29"/>
        <v>9.0000000000000011E-3</v>
      </c>
      <c r="BJ22" s="34">
        <f t="shared" si="30"/>
        <v>1.2E-2</v>
      </c>
      <c r="BK22" s="39">
        <v>0.01</v>
      </c>
      <c r="BL22" s="33"/>
      <c r="BM22" s="39">
        <f t="shared" si="31"/>
        <v>9.9774867962972913E-2</v>
      </c>
      <c r="BN22" s="34">
        <f t="shared" si="32"/>
        <v>9.5734902801264204E-2</v>
      </c>
      <c r="BO22" s="34">
        <f t="shared" si="33"/>
        <v>8.7176098159842286E-2</v>
      </c>
      <c r="BP22" s="28"/>
      <c r="BQ22" s="31">
        <f>Q22/GD22*2</f>
        <v>8.2219466900930753E-4</v>
      </c>
      <c r="BR22" s="33">
        <f t="shared" si="34"/>
        <v>3.6271654146864951E-2</v>
      </c>
      <c r="BS22" s="32">
        <f>FC22/E22</f>
        <v>1.494539450743582E-2</v>
      </c>
      <c r="BT22" s="33">
        <f t="shared" si="35"/>
        <v>7.8924508864312654E-2</v>
      </c>
      <c r="BU22" s="33">
        <f t="shared" si="36"/>
        <v>0.85317997891501363</v>
      </c>
      <c r="BV22" s="34">
        <f t="shared" si="37"/>
        <v>0.90296179907027518</v>
      </c>
      <c r="BW22" s="28"/>
      <c r="BX22" s="27">
        <v>29.634</v>
      </c>
      <c r="BY22" s="28">
        <v>340.46800000000002</v>
      </c>
      <c r="BZ22" s="29">
        <f t="shared" si="38"/>
        <v>370.10200000000003</v>
      </c>
      <c r="CA22" s="25">
        <v>2942.3780000000002</v>
      </c>
      <c r="CB22" s="28">
        <v>7.2619999999999996</v>
      </c>
      <c r="CC22" s="28">
        <v>7.0969999999999995</v>
      </c>
      <c r="CD22" s="29">
        <f t="shared" si="39"/>
        <v>2928.0189999999998</v>
      </c>
      <c r="CE22" s="28">
        <v>448.26</v>
      </c>
      <c r="CF22" s="28">
        <v>187.72499999999999</v>
      </c>
      <c r="CG22" s="29">
        <f t="shared" si="40"/>
        <v>635.98500000000001</v>
      </c>
      <c r="CH22" s="28">
        <v>0.02</v>
      </c>
      <c r="CI22" s="28">
        <v>0</v>
      </c>
      <c r="CJ22" s="28">
        <v>34.344000000000001</v>
      </c>
      <c r="CK22" s="28">
        <v>7.7210000000001457</v>
      </c>
      <c r="CL22" s="29">
        <f t="shared" si="41"/>
        <v>3976.1909999999998</v>
      </c>
      <c r="CM22" s="28">
        <v>0</v>
      </c>
      <c r="CN22" s="25">
        <v>2859.444</v>
      </c>
      <c r="CO22" s="29">
        <f t="shared" si="42"/>
        <v>2859.444</v>
      </c>
      <c r="CP22" s="28">
        <v>476.31200000000001</v>
      </c>
      <c r="CQ22" s="28">
        <v>26.88799999999992</v>
      </c>
      <c r="CR22" s="29">
        <f t="shared" si="43"/>
        <v>503.19999999999993</v>
      </c>
      <c r="CS22" s="28">
        <v>70.728000000000009</v>
      </c>
      <c r="CT22" s="28">
        <v>542.81899999999996</v>
      </c>
      <c r="CU22" s="42">
        <f t="shared" si="44"/>
        <v>3976.1909999999998</v>
      </c>
      <c r="CV22" s="28"/>
      <c r="CW22" s="43">
        <v>818.36200000000008</v>
      </c>
      <c r="CX22" s="28"/>
      <c r="CY22" s="24">
        <v>130</v>
      </c>
      <c r="CZ22" s="25">
        <v>150</v>
      </c>
      <c r="DA22" s="25">
        <v>75</v>
      </c>
      <c r="DB22" s="25">
        <v>90</v>
      </c>
      <c r="DC22" s="25">
        <v>100</v>
      </c>
      <c r="DD22" s="25">
        <v>0</v>
      </c>
      <c r="DE22" s="26">
        <f t="shared" si="45"/>
        <v>545</v>
      </c>
      <c r="DF22" s="34">
        <f t="shared" si="46"/>
        <v>0.13706585020689399</v>
      </c>
      <c r="DG22" s="68"/>
      <c r="DH22" s="44" t="s">
        <v>229</v>
      </c>
      <c r="DI22" s="45">
        <v>28</v>
      </c>
      <c r="DJ22" s="46">
        <v>5</v>
      </c>
      <c r="DK22" s="45" t="s">
        <v>168</v>
      </c>
      <c r="DL22" s="47" t="s">
        <v>169</v>
      </c>
      <c r="DM22" s="48" t="s">
        <v>170</v>
      </c>
      <c r="DN22" s="39">
        <v>0.24023291463020435</v>
      </c>
      <c r="DO22" s="36"/>
      <c r="DP22" s="34"/>
      <c r="DQ22" s="25"/>
      <c r="DR22" s="24">
        <v>513.76900000000001</v>
      </c>
      <c r="DS22" s="25">
        <v>533.76900000000001</v>
      </c>
      <c r="DT22" s="26">
        <v>553.76900000000001</v>
      </c>
      <c r="DU22" s="25"/>
      <c r="DV22" s="44">
        <f t="shared" si="47"/>
        <v>1681.201</v>
      </c>
      <c r="DW22" s="25">
        <v>1685.655</v>
      </c>
      <c r="DX22" s="26">
        <v>1676.7470000000001</v>
      </c>
      <c r="DY22" s="25"/>
      <c r="DZ22" s="24">
        <v>513.28399999999999</v>
      </c>
      <c r="EA22" s="25">
        <v>542.08699999999999</v>
      </c>
      <c r="EB22" s="25">
        <v>573.94600000000003</v>
      </c>
      <c r="EC22" s="26">
        <v>2063.2469999999998</v>
      </c>
      <c r="ED22" s="25"/>
      <c r="EE22" s="24">
        <v>33.849968799999992</v>
      </c>
      <c r="EF22" s="25">
        <v>0</v>
      </c>
      <c r="EG22" s="25">
        <v>69</v>
      </c>
      <c r="EH22" s="25">
        <v>42.053310100000004</v>
      </c>
      <c r="EI22" s="25">
        <v>213</v>
      </c>
      <c r="EJ22" s="25">
        <v>38.826350700000006</v>
      </c>
      <c r="EK22" s="25">
        <v>5.0781325299999995</v>
      </c>
      <c r="EL22" s="25">
        <v>1.0462378699999189</v>
      </c>
      <c r="EM22" s="26">
        <v>2417.91</v>
      </c>
      <c r="EN22" s="26">
        <f t="shared" si="48"/>
        <v>2820.7640000000001</v>
      </c>
      <c r="EO22" s="45"/>
      <c r="EP22" s="36">
        <f t="shared" si="49"/>
        <v>1.2000283894717882E-2</v>
      </c>
      <c r="EQ22" s="33">
        <f t="shared" si="50"/>
        <v>0</v>
      </c>
      <c r="ER22" s="33">
        <f t="shared" si="51"/>
        <v>2.4461457959616614E-2</v>
      </c>
      <c r="ES22" s="33">
        <f t="shared" si="52"/>
        <v>1.490848227643291E-2</v>
      </c>
      <c r="ET22" s="33">
        <f t="shared" si="53"/>
        <v>7.5511457179686062E-2</v>
      </c>
      <c r="EU22" s="33">
        <f t="shared" si="54"/>
        <v>1.3764480367730163E-2</v>
      </c>
      <c r="EV22" s="33">
        <f t="shared" si="55"/>
        <v>1.8002684839993701E-3</v>
      </c>
      <c r="EW22" s="33">
        <f t="shared" si="56"/>
        <v>3.7090585032988185E-4</v>
      </c>
      <c r="EX22" s="33">
        <f t="shared" si="57"/>
        <v>0.85718266398748699</v>
      </c>
      <c r="EY22" s="39">
        <f t="shared" si="58"/>
        <v>0.99999999999999989</v>
      </c>
      <c r="EZ22" s="45"/>
      <c r="FA22" s="27">
        <v>16.132999999999999</v>
      </c>
      <c r="FB22" s="28">
        <v>27.841999999999999</v>
      </c>
      <c r="FC22" s="42">
        <f t="shared" si="59"/>
        <v>43.974999999999994</v>
      </c>
      <c r="FE22" s="27">
        <f>CB22</f>
        <v>7.2619999999999996</v>
      </c>
      <c r="FF22" s="28">
        <f>CC22</f>
        <v>7.0969999999999995</v>
      </c>
      <c r="FG22" s="42">
        <f t="shared" si="60"/>
        <v>14.358999999999998</v>
      </c>
      <c r="FI22" s="53">
        <v>2678.6190000000001</v>
      </c>
      <c r="FJ22" s="54">
        <v>219.673</v>
      </c>
      <c r="FK22" s="55">
        <v>44.085999999999999</v>
      </c>
      <c r="FL22" s="56">
        <f t="shared" si="61"/>
        <v>2942.3780000000002</v>
      </c>
      <c r="FM22" s="57">
        <f t="shared" si="62"/>
        <v>0.91035856032093765</v>
      </c>
      <c r="FN22" s="58">
        <f t="shared" si="63"/>
        <v>7.4658320582875484E-2</v>
      </c>
      <c r="FO22" s="59">
        <f t="shared" si="64"/>
        <v>1.4983119096186824E-2</v>
      </c>
      <c r="FP22" s="61">
        <f t="shared" si="65"/>
        <v>0.99999999999999989</v>
      </c>
      <c r="FR22" s="24">
        <f>FV22*E22</f>
        <v>2510.3780000000002</v>
      </c>
      <c r="FS22" s="25">
        <f>E22*FW22</f>
        <v>432.00000000000006</v>
      </c>
      <c r="FT22" s="26">
        <f t="shared" si="66"/>
        <v>2942.3780000000002</v>
      </c>
      <c r="FV22" s="36">
        <v>0.85317997891501363</v>
      </c>
      <c r="FW22" s="33">
        <v>0.14682002108498637</v>
      </c>
      <c r="FX22" s="34">
        <f t="shared" si="67"/>
        <v>1</v>
      </c>
      <c r="FY22" s="45"/>
      <c r="FZ22" s="44">
        <f t="shared" si="68"/>
        <v>526.07950000000005</v>
      </c>
      <c r="GA22" s="25">
        <v>509.34000000000003</v>
      </c>
      <c r="GB22" s="26">
        <v>542.81899999999996</v>
      </c>
      <c r="GD22" s="44">
        <f t="shared" si="69"/>
        <v>2877.6639999999998</v>
      </c>
      <c r="GE22" s="25">
        <v>2812.95</v>
      </c>
      <c r="GF22" s="26">
        <v>2942.3780000000002</v>
      </c>
      <c r="GH22" s="44">
        <f t="shared" si="70"/>
        <v>1404.0039999999999</v>
      </c>
      <c r="GI22" s="25">
        <v>1298.5309999999999</v>
      </c>
      <c r="GJ22" s="26">
        <f>F22</f>
        <v>1509.4770000000001</v>
      </c>
      <c r="GL22" s="44">
        <f t="shared" si="71"/>
        <v>4281.6679999999997</v>
      </c>
      <c r="GM22" s="45">
        <f t="shared" si="72"/>
        <v>4111.4809999999998</v>
      </c>
      <c r="GN22" s="46">
        <f t="shared" si="73"/>
        <v>4451.8550000000005</v>
      </c>
      <c r="GP22" s="44">
        <f t="shared" si="74"/>
        <v>2759.2624999999998</v>
      </c>
      <c r="GQ22" s="25">
        <v>2659.0810000000001</v>
      </c>
      <c r="GR22" s="26">
        <f>G22</f>
        <v>2859.444</v>
      </c>
      <c r="GS22" s="25"/>
      <c r="GT22" s="44">
        <f t="shared" si="75"/>
        <v>3847.7784999999999</v>
      </c>
      <c r="GU22" s="25">
        <v>3719.366</v>
      </c>
      <c r="GV22" s="26">
        <f>C22</f>
        <v>3976.1909999999998</v>
      </c>
      <c r="GW22" s="25"/>
      <c r="GX22" s="61">
        <f>DX22/C22</f>
        <v>0.42169679474653005</v>
      </c>
      <c r="GY22" s="62"/>
    </row>
    <row r="23" spans="1:207" x14ac:dyDescent="0.25">
      <c r="A23" s="1"/>
      <c r="B23" s="23" t="s">
        <v>194</v>
      </c>
      <c r="C23" s="24">
        <v>15304.093000000001</v>
      </c>
      <c r="D23" s="25">
        <f t="shared" si="0"/>
        <v>14835.190500000001</v>
      </c>
      <c r="E23" s="25">
        <v>12179.933000000001</v>
      </c>
      <c r="F23" s="25">
        <v>3945.3229999999999</v>
      </c>
      <c r="G23" s="25">
        <v>11529.414000000001</v>
      </c>
      <c r="H23" s="25">
        <f t="shared" si="1"/>
        <v>19249.416000000001</v>
      </c>
      <c r="I23" s="26">
        <f t="shared" si="2"/>
        <v>16125.256000000001</v>
      </c>
      <c r="J23" s="25"/>
      <c r="K23" s="27">
        <v>176.69200000000001</v>
      </c>
      <c r="L23" s="28">
        <v>45.591000000000001</v>
      </c>
      <c r="M23" s="28">
        <v>1.278</v>
      </c>
      <c r="N23" s="29">
        <f t="shared" si="3"/>
        <v>223.56100000000001</v>
      </c>
      <c r="O23" s="28">
        <v>108.834</v>
      </c>
      <c r="P23" s="29">
        <f t="shared" si="4"/>
        <v>114.727</v>
      </c>
      <c r="Q23" s="28">
        <v>4.1580000000000004</v>
      </c>
      <c r="R23" s="29">
        <f t="shared" si="5"/>
        <v>110.569</v>
      </c>
      <c r="S23" s="28">
        <v>26.78</v>
      </c>
      <c r="T23" s="28">
        <v>2.1949999999999998</v>
      </c>
      <c r="U23" s="28">
        <v>-17</v>
      </c>
      <c r="V23" s="29">
        <f t="shared" si="6"/>
        <v>122.54399999999998</v>
      </c>
      <c r="W23" s="28">
        <v>24.472000000000001</v>
      </c>
      <c r="X23" s="30">
        <f t="shared" si="7"/>
        <v>98.071999999999974</v>
      </c>
      <c r="Y23" s="28"/>
      <c r="Z23" s="31">
        <f t="shared" si="8"/>
        <v>2.3820658049520833E-2</v>
      </c>
      <c r="AA23" s="32">
        <f t="shared" si="9"/>
        <v>6.1463315890685731E-3</v>
      </c>
      <c r="AB23" s="33">
        <f t="shared" si="10"/>
        <v>0.43096429815947035</v>
      </c>
      <c r="AC23" s="33">
        <f t="shared" si="11"/>
        <v>0.43474301053363212</v>
      </c>
      <c r="AD23" s="33">
        <f t="shared" si="12"/>
        <v>0.48682015199431028</v>
      </c>
      <c r="AE23" s="32">
        <f t="shared" si="13"/>
        <v>1.4672410172285957E-2</v>
      </c>
      <c r="AF23" s="32">
        <f t="shared" si="14"/>
        <v>1.3221535645261849E-2</v>
      </c>
      <c r="AG23" s="32">
        <f>X23/DV23*2</f>
        <v>2.7690453750515986E-2</v>
      </c>
      <c r="AH23" s="32">
        <f>(P23+S23+T23)/DV23*2</f>
        <v>4.0574002619062008E-2</v>
      </c>
      <c r="AI23" s="32">
        <f>R23/DV23*2</f>
        <v>3.1218959343551705E-2</v>
      </c>
      <c r="AJ23" s="34">
        <f>X23/FZ23*2</f>
        <v>8.2328246021029491E-2</v>
      </c>
      <c r="AK23" s="35"/>
      <c r="AL23" s="36">
        <f t="shared" si="15"/>
        <v>4.3577303285453152E-2</v>
      </c>
      <c r="AM23" s="33">
        <f t="shared" si="16"/>
        <v>4.4201023734620197E-2</v>
      </c>
      <c r="AN23" s="34">
        <f t="shared" si="17"/>
        <v>6.1544733816789016E-2</v>
      </c>
      <c r="AO23" s="28"/>
      <c r="AP23" s="36">
        <f t="shared" si="18"/>
        <v>0.94659092131294975</v>
      </c>
      <c r="AQ23" s="33">
        <f t="shared" si="19"/>
        <v>0.90840517623443995</v>
      </c>
      <c r="AR23" s="33">
        <f t="shared" si="20"/>
        <v>-7.2230089035658626E-2</v>
      </c>
      <c r="AS23" s="33">
        <f t="shared" si="21"/>
        <v>0.20155702791403579</v>
      </c>
      <c r="AT23" s="33">
        <f t="shared" si="22"/>
        <v>0.14819114076214773</v>
      </c>
      <c r="AU23" s="37">
        <v>2.02</v>
      </c>
      <c r="AV23" s="38">
        <v>1.35</v>
      </c>
      <c r="AW23" s="28"/>
      <c r="AX23" s="36">
        <f>GB23/C23</f>
        <v>0.16128476218747495</v>
      </c>
      <c r="AY23" s="33">
        <v>0.14349999999999999</v>
      </c>
      <c r="AZ23" s="33">
        <f t="shared" si="23"/>
        <v>0.34802729785830522</v>
      </c>
      <c r="BA23" s="33">
        <f t="shared" si="24"/>
        <v>0.34802729785830522</v>
      </c>
      <c r="BB23" s="34">
        <f t="shared" si="25"/>
        <v>0.35547092318967682</v>
      </c>
      <c r="BC23" s="33"/>
      <c r="BD23" s="36">
        <f t="shared" si="26"/>
        <v>0.29656959003971056</v>
      </c>
      <c r="BE23" s="33">
        <f t="shared" si="27"/>
        <v>0.29978816703530536</v>
      </c>
      <c r="BF23" s="34">
        <f t="shared" si="28"/>
        <v>0.3104936998514532</v>
      </c>
      <c r="BG23" s="25"/>
      <c r="BH23" s="39">
        <v>2.5000000000000001E-2</v>
      </c>
      <c r="BI23" s="36">
        <f t="shared" si="29"/>
        <v>1.40625E-2</v>
      </c>
      <c r="BJ23" s="34">
        <f t="shared" si="30"/>
        <v>1.8750000000000003E-2</v>
      </c>
      <c r="BK23" s="39"/>
      <c r="BL23" s="33"/>
      <c r="BM23" s="39">
        <f t="shared" si="31"/>
        <v>0.14250709003971054</v>
      </c>
      <c r="BN23" s="34">
        <f t="shared" si="32"/>
        <v>0.12603816703530535</v>
      </c>
      <c r="BO23" s="34">
        <f t="shared" si="33"/>
        <v>0.11049369985145319</v>
      </c>
      <c r="BP23" s="28"/>
      <c r="BQ23" s="31">
        <f>Q23/GD23*2</f>
        <v>6.9732162169538971E-4</v>
      </c>
      <c r="BR23" s="33">
        <f t="shared" si="34"/>
        <v>2.8934879124855605E-2</v>
      </c>
      <c r="BS23" s="32">
        <f>FC23/E23</f>
        <v>1.1249733475545389E-2</v>
      </c>
      <c r="BT23" s="33">
        <f t="shared" si="35"/>
        <v>5.4262239704922013E-2</v>
      </c>
      <c r="BU23" s="33">
        <f t="shared" si="36"/>
        <v>0.72214436647557911</v>
      </c>
      <c r="BV23" s="34">
        <f t="shared" si="37"/>
        <v>0.79012655675047883</v>
      </c>
      <c r="BW23" s="28"/>
      <c r="BX23" s="27">
        <v>92.003</v>
      </c>
      <c r="BY23" s="28">
        <v>692.99199999999996</v>
      </c>
      <c r="BZ23" s="29">
        <f t="shared" si="38"/>
        <v>784.995</v>
      </c>
      <c r="CA23" s="25">
        <v>12179.933000000001</v>
      </c>
      <c r="CB23" s="28">
        <v>21.061</v>
      </c>
      <c r="CC23" s="28">
        <v>35.784999999999997</v>
      </c>
      <c r="CD23" s="29">
        <f t="shared" si="39"/>
        <v>12123.087000000001</v>
      </c>
      <c r="CE23" s="28">
        <v>1461.6</v>
      </c>
      <c r="CF23" s="28">
        <v>699.67499999999995</v>
      </c>
      <c r="CG23" s="29">
        <f t="shared" si="40"/>
        <v>2161.2749999999996</v>
      </c>
      <c r="CH23" s="28">
        <v>22.19</v>
      </c>
      <c r="CI23" s="28">
        <v>0</v>
      </c>
      <c r="CJ23" s="28">
        <v>199.93899999999999</v>
      </c>
      <c r="CK23" s="28">
        <v>12.606999999998976</v>
      </c>
      <c r="CL23" s="29">
        <f t="shared" si="41"/>
        <v>15304.093000000001</v>
      </c>
      <c r="CM23" s="28">
        <v>155.61799999999999</v>
      </c>
      <c r="CN23" s="25">
        <v>11529.414000000001</v>
      </c>
      <c r="CO23" s="29">
        <f t="shared" si="42"/>
        <v>11685.032000000001</v>
      </c>
      <c r="CP23" s="28">
        <v>956.36800000000005</v>
      </c>
      <c r="CQ23" s="28">
        <v>143.84699999999975</v>
      </c>
      <c r="CR23" s="29">
        <f t="shared" si="43"/>
        <v>1100.2149999999997</v>
      </c>
      <c r="CS23" s="28">
        <v>50.529000000000003</v>
      </c>
      <c r="CT23" s="28">
        <v>2468.317</v>
      </c>
      <c r="CU23" s="42">
        <f t="shared" si="44"/>
        <v>15304.093000000001</v>
      </c>
      <c r="CV23" s="28"/>
      <c r="CW23" s="43">
        <v>2267.931</v>
      </c>
      <c r="CX23" s="28"/>
      <c r="CY23" s="24">
        <v>200</v>
      </c>
      <c r="CZ23" s="25">
        <v>375</v>
      </c>
      <c r="DA23" s="25">
        <v>250</v>
      </c>
      <c r="DB23" s="25">
        <v>200</v>
      </c>
      <c r="DC23" s="25">
        <v>100</v>
      </c>
      <c r="DD23" s="25">
        <v>0</v>
      </c>
      <c r="DE23" s="26">
        <f t="shared" si="45"/>
        <v>1125</v>
      </c>
      <c r="DF23" s="34">
        <f t="shared" si="46"/>
        <v>7.3509746706322279E-2</v>
      </c>
      <c r="DG23" s="25"/>
      <c r="DH23" s="44" t="s">
        <v>229</v>
      </c>
      <c r="DI23" s="45">
        <v>84.3</v>
      </c>
      <c r="DJ23" s="46">
        <v>7</v>
      </c>
      <c r="DK23" s="45" t="s">
        <v>168</v>
      </c>
      <c r="DL23" s="47" t="s">
        <v>169</v>
      </c>
      <c r="DM23" s="45"/>
      <c r="DN23" s="39" t="s">
        <v>224</v>
      </c>
      <c r="DO23" s="36"/>
      <c r="DP23" s="34"/>
      <c r="DQ23" s="25"/>
      <c r="DR23" s="24">
        <v>2337.7539999999999</v>
      </c>
      <c r="DS23" s="25">
        <v>2337.7539999999999</v>
      </c>
      <c r="DT23" s="26">
        <v>2387.7539999999999</v>
      </c>
      <c r="DU23" s="25"/>
      <c r="DV23" s="44">
        <f t="shared" si="47"/>
        <v>7083.4519999999993</v>
      </c>
      <c r="DW23" s="25">
        <v>7449.7469999999994</v>
      </c>
      <c r="DX23" s="26">
        <v>6717.1570000000002</v>
      </c>
      <c r="DY23" s="25"/>
      <c r="DZ23" s="24">
        <v>2328.087</v>
      </c>
      <c r="EA23" s="25">
        <v>2353.3530000000001</v>
      </c>
      <c r="EB23" s="25">
        <v>2437.3919999999998</v>
      </c>
      <c r="EC23" s="26">
        <v>7850.0529999999999</v>
      </c>
      <c r="ED23" s="25"/>
      <c r="EE23" s="24">
        <v>1385.694</v>
      </c>
      <c r="EF23" s="25">
        <v>104.56699999999999</v>
      </c>
      <c r="EG23" s="25">
        <v>394.45299999999997</v>
      </c>
      <c r="EH23" s="25">
        <v>165.88400000000001</v>
      </c>
      <c r="EI23" s="25">
        <v>1126.3509999999999</v>
      </c>
      <c r="EJ23" s="25">
        <v>170.59100000000001</v>
      </c>
      <c r="EK23" s="25">
        <v>56.144000000000005</v>
      </c>
      <c r="EL23" s="25">
        <v>1.7089999999996217</v>
      </c>
      <c r="EM23" s="26">
        <v>8656.5030000000006</v>
      </c>
      <c r="EN23" s="26">
        <f t="shared" si="48"/>
        <v>12061.896000000001</v>
      </c>
      <c r="EO23" s="45"/>
      <c r="EP23" s="36">
        <f t="shared" si="49"/>
        <v>0.11488193895885024</v>
      </c>
      <c r="EQ23" s="33">
        <f t="shared" si="50"/>
        <v>8.6692009282786052E-3</v>
      </c>
      <c r="ER23" s="33">
        <f t="shared" si="51"/>
        <v>3.2702404331789954E-2</v>
      </c>
      <c r="ES23" s="33">
        <f t="shared" si="52"/>
        <v>1.3752730084888811E-2</v>
      </c>
      <c r="ET23" s="33">
        <f t="shared" si="53"/>
        <v>9.3380924524635256E-2</v>
      </c>
      <c r="EU23" s="33">
        <f t="shared" si="54"/>
        <v>1.4142967241634316E-2</v>
      </c>
      <c r="EV23" s="33">
        <f t="shared" si="55"/>
        <v>4.6546579410069533E-3</v>
      </c>
      <c r="EW23" s="33">
        <f t="shared" si="56"/>
        <v>1.4168585104693506E-4</v>
      </c>
      <c r="EX23" s="33">
        <f t="shared" si="57"/>
        <v>0.71767349013786885</v>
      </c>
      <c r="EY23" s="39">
        <f t="shared" si="58"/>
        <v>0.99999999999999989</v>
      </c>
      <c r="EZ23" s="45"/>
      <c r="FA23" s="27">
        <v>39.272999999999996</v>
      </c>
      <c r="FB23" s="28">
        <v>97.74799999999999</v>
      </c>
      <c r="FC23" s="42">
        <f t="shared" si="59"/>
        <v>137.02099999999999</v>
      </c>
      <c r="FE23" s="27">
        <f>CB23</f>
        <v>21.061</v>
      </c>
      <c r="FF23" s="28">
        <f>CC23</f>
        <v>35.784999999999997</v>
      </c>
      <c r="FG23" s="42">
        <f t="shared" si="60"/>
        <v>56.845999999999997</v>
      </c>
      <c r="FI23" s="53">
        <v>10813.696</v>
      </c>
      <c r="FJ23" s="54">
        <v>1227.0899999999999</v>
      </c>
      <c r="FK23" s="55">
        <v>132.07300000000001</v>
      </c>
      <c r="FL23" s="56">
        <f t="shared" si="61"/>
        <v>12172.859</v>
      </c>
      <c r="FM23" s="57">
        <f t="shared" si="62"/>
        <v>0.88834480051070985</v>
      </c>
      <c r="FN23" s="58">
        <f t="shared" si="63"/>
        <v>0.10080540651953661</v>
      </c>
      <c r="FO23" s="59">
        <f t="shared" si="64"/>
        <v>1.084979296975345E-2</v>
      </c>
      <c r="FP23" s="61">
        <f t="shared" si="65"/>
        <v>0.99999999999999989</v>
      </c>
      <c r="FR23" s="24">
        <f>FV23*E23</f>
        <v>8795.67</v>
      </c>
      <c r="FS23" s="25">
        <f>E23*FW23</f>
        <v>3384.2630000000004</v>
      </c>
      <c r="FT23" s="26">
        <f t="shared" si="66"/>
        <v>12179.933000000001</v>
      </c>
      <c r="FV23" s="36">
        <v>0.72214436647557911</v>
      </c>
      <c r="FW23" s="33">
        <v>0.27785563352442089</v>
      </c>
      <c r="FX23" s="34">
        <f t="shared" si="67"/>
        <v>1</v>
      </c>
      <c r="FY23" s="45"/>
      <c r="FZ23" s="44">
        <f t="shared" si="68"/>
        <v>2382.4629999999997</v>
      </c>
      <c r="GA23" s="25">
        <v>2296.6089999999999</v>
      </c>
      <c r="GB23" s="26">
        <v>2468.317</v>
      </c>
      <c r="GD23" s="44">
        <f t="shared" si="69"/>
        <v>11925.630499999999</v>
      </c>
      <c r="GE23" s="25">
        <v>11671.328</v>
      </c>
      <c r="GF23" s="26">
        <v>12179.933000000001</v>
      </c>
      <c r="GH23" s="44">
        <f t="shared" si="70"/>
        <v>3858.3344999999999</v>
      </c>
      <c r="GI23" s="25">
        <v>3771.346</v>
      </c>
      <c r="GJ23" s="26">
        <f>F23</f>
        <v>3945.3229999999999</v>
      </c>
      <c r="GL23" s="44">
        <f t="shared" si="71"/>
        <v>15783.965</v>
      </c>
      <c r="GM23" s="45">
        <f t="shared" si="72"/>
        <v>15442.673999999999</v>
      </c>
      <c r="GN23" s="46">
        <f t="shared" si="73"/>
        <v>16125.256000000001</v>
      </c>
      <c r="GP23" s="44">
        <f t="shared" si="74"/>
        <v>11195.196</v>
      </c>
      <c r="GQ23" s="25">
        <v>10860.977999999999</v>
      </c>
      <c r="GR23" s="26">
        <f>G23</f>
        <v>11529.414000000001</v>
      </c>
      <c r="GS23" s="25"/>
      <c r="GT23" s="44">
        <f t="shared" si="75"/>
        <v>14835.190500000001</v>
      </c>
      <c r="GU23" s="25">
        <v>14366.288</v>
      </c>
      <c r="GV23" s="26">
        <f>C23</f>
        <v>15304.093000000001</v>
      </c>
      <c r="GW23" s="25"/>
      <c r="GX23" s="61">
        <f>DX23/C23</f>
        <v>0.43891245302808862</v>
      </c>
      <c r="GY23" s="62"/>
    </row>
    <row r="24" spans="1:207" x14ac:dyDescent="0.25">
      <c r="A24" s="1"/>
      <c r="B24" s="23" t="s">
        <v>195</v>
      </c>
      <c r="C24" s="24">
        <v>12015.779</v>
      </c>
      <c r="D24" s="25">
        <f t="shared" si="0"/>
        <v>11767.9185</v>
      </c>
      <c r="E24" s="25">
        <v>9761.57</v>
      </c>
      <c r="F24" s="25">
        <v>2942.48</v>
      </c>
      <c r="G24" s="25">
        <v>7800.4960000000001</v>
      </c>
      <c r="H24" s="25">
        <f t="shared" si="1"/>
        <v>14958.259</v>
      </c>
      <c r="I24" s="26">
        <f t="shared" si="2"/>
        <v>12704.05</v>
      </c>
      <c r="J24" s="25"/>
      <c r="K24" s="27">
        <v>127.79</v>
      </c>
      <c r="L24" s="28">
        <v>30.497999999999998</v>
      </c>
      <c r="M24" s="28">
        <v>2.7730000000000001</v>
      </c>
      <c r="N24" s="29">
        <f t="shared" si="3"/>
        <v>161.06100000000001</v>
      </c>
      <c r="O24" s="28">
        <v>77.592000000000013</v>
      </c>
      <c r="P24" s="29">
        <f t="shared" si="4"/>
        <v>83.468999999999994</v>
      </c>
      <c r="Q24" s="28">
        <v>6.3780000000000001</v>
      </c>
      <c r="R24" s="29">
        <f t="shared" si="5"/>
        <v>77.090999999999994</v>
      </c>
      <c r="S24" s="28">
        <v>17.331</v>
      </c>
      <c r="T24" s="28">
        <v>1.738</v>
      </c>
      <c r="U24" s="28">
        <v>0</v>
      </c>
      <c r="V24" s="29">
        <f t="shared" si="6"/>
        <v>96.16</v>
      </c>
      <c r="W24" s="28">
        <v>19.542000000000002</v>
      </c>
      <c r="X24" s="30">
        <f t="shared" si="7"/>
        <v>76.617999999999995</v>
      </c>
      <c r="Y24" s="28"/>
      <c r="Z24" s="31">
        <f t="shared" si="8"/>
        <v>2.1718369310596435E-2</v>
      </c>
      <c r="AA24" s="32">
        <f t="shared" si="9"/>
        <v>5.1832445984393927E-3</v>
      </c>
      <c r="AB24" s="33">
        <f t="shared" si="10"/>
        <v>0.43075556542497095</v>
      </c>
      <c r="AC24" s="33">
        <f t="shared" si="11"/>
        <v>0.43495224001076288</v>
      </c>
      <c r="AD24" s="33">
        <f t="shared" si="12"/>
        <v>0.48175535977052181</v>
      </c>
      <c r="AE24" s="32">
        <f t="shared" si="13"/>
        <v>1.3187038982297509E-2</v>
      </c>
      <c r="AF24" s="32">
        <f t="shared" si="14"/>
        <v>1.302150418529836E-2</v>
      </c>
      <c r="AG24" s="32">
        <f>X24/DV24*2</f>
        <v>2.5056853184902538E-2</v>
      </c>
      <c r="AH24" s="32">
        <f>(P24+S24+T24)/DV24*2</f>
        <v>3.3533629328271905E-2</v>
      </c>
      <c r="AI24" s="32">
        <f>R24/DV24*2</f>
        <v>2.5211541268074362E-2</v>
      </c>
      <c r="AJ24" s="34">
        <f>X24/FZ24*2</f>
        <v>0.1063693467249478</v>
      </c>
      <c r="AK24" s="35"/>
      <c r="AL24" s="36">
        <f t="shared" si="15"/>
        <v>5.1435468671454647E-2</v>
      </c>
      <c r="AM24" s="33">
        <f t="shared" si="16"/>
        <v>6.2054450307475341E-2</v>
      </c>
      <c r="AN24" s="34">
        <f t="shared" si="17"/>
        <v>2.3131398837298214E-2</v>
      </c>
      <c r="AO24" s="28"/>
      <c r="AP24" s="36">
        <f t="shared" si="18"/>
        <v>0.79910260337220351</v>
      </c>
      <c r="AQ24" s="33">
        <f t="shared" si="19"/>
        <v>0.74806022575981068</v>
      </c>
      <c r="AR24" s="33">
        <f t="shared" si="20"/>
        <v>9.7041897990966727E-2</v>
      </c>
      <c r="AS24" s="33">
        <f t="shared" si="21"/>
        <v>0.31934517104550608</v>
      </c>
      <c r="AT24" s="33">
        <f t="shared" si="22"/>
        <v>0.12159852473984417</v>
      </c>
      <c r="AU24" s="37">
        <v>3.53</v>
      </c>
      <c r="AV24" s="38">
        <v>1.1399999999999999</v>
      </c>
      <c r="AW24" s="28"/>
      <c r="AX24" s="36">
        <f>GB24/C24</f>
        <v>0.12384923191413556</v>
      </c>
      <c r="AY24" s="33">
        <v>0.1171</v>
      </c>
      <c r="AZ24" s="33">
        <f t="shared" si="23"/>
        <v>0.22938328823763907</v>
      </c>
      <c r="BA24" s="33">
        <f t="shared" si="24"/>
        <v>0.24759373745962246</v>
      </c>
      <c r="BB24" s="34">
        <f t="shared" si="25"/>
        <v>0.27242616821687254</v>
      </c>
      <c r="BC24" s="33"/>
      <c r="BD24" s="36">
        <f t="shared" si="26"/>
        <v>0.20238263081443328</v>
      </c>
      <c r="BE24" s="33">
        <f t="shared" si="27"/>
        <v>0.22108420822682792</v>
      </c>
      <c r="BF24" s="34">
        <f t="shared" si="28"/>
        <v>0.24654383998739468</v>
      </c>
      <c r="BG24" s="25"/>
      <c r="BH24" s="39">
        <v>2.3E-2</v>
      </c>
      <c r="BI24" s="36">
        <f t="shared" si="29"/>
        <v>1.2937499999999999E-2</v>
      </c>
      <c r="BJ24" s="34">
        <f t="shared" si="30"/>
        <v>1.7250000000000001E-2</v>
      </c>
      <c r="BK24" s="39">
        <v>1.4999999999999999E-2</v>
      </c>
      <c r="BL24" s="33"/>
      <c r="BM24" s="39">
        <f t="shared" si="31"/>
        <v>4.9445130814433275E-2</v>
      </c>
      <c r="BN24" s="34">
        <f t="shared" si="32"/>
        <v>4.8834208226827908E-2</v>
      </c>
      <c r="BO24" s="34">
        <f t="shared" si="33"/>
        <v>4.8543839987394671E-2</v>
      </c>
      <c r="BP24" s="28"/>
      <c r="BQ24" s="31">
        <f>Q24/GD24*2</f>
        <v>1.3395212156753597E-3</v>
      </c>
      <c r="BR24" s="33">
        <f t="shared" si="34"/>
        <v>6.220133023854571E-2</v>
      </c>
      <c r="BS24" s="32">
        <f>FC24/E24</f>
        <v>3.3987872852420255E-2</v>
      </c>
      <c r="BT24" s="33">
        <f t="shared" si="35"/>
        <v>0.21811073470989675</v>
      </c>
      <c r="BU24" s="33">
        <f t="shared" si="36"/>
        <v>0.67172247906842852</v>
      </c>
      <c r="BV24" s="34">
        <f t="shared" si="37"/>
        <v>0.74775728999807156</v>
      </c>
      <c r="BW24" s="28"/>
      <c r="BX24" s="27">
        <v>7.29</v>
      </c>
      <c r="BY24" s="28">
        <v>650.38499999999999</v>
      </c>
      <c r="BZ24" s="29">
        <f t="shared" si="38"/>
        <v>657.67499999999995</v>
      </c>
      <c r="CA24" s="25">
        <v>9761.57</v>
      </c>
      <c r="CB24" s="28">
        <v>23.420999999999999</v>
      </c>
      <c r="CC24" s="28">
        <v>9.5650000000000013</v>
      </c>
      <c r="CD24" s="29">
        <f t="shared" si="39"/>
        <v>9728.5839999999989</v>
      </c>
      <c r="CE24" s="28">
        <v>803.42600000000004</v>
      </c>
      <c r="CF24" s="28">
        <v>539.56899999999996</v>
      </c>
      <c r="CG24" s="29">
        <f t="shared" si="40"/>
        <v>1342.9949999999999</v>
      </c>
      <c r="CH24" s="28">
        <v>45.103999999999999</v>
      </c>
      <c r="CI24" s="28">
        <v>3.29</v>
      </c>
      <c r="CJ24" s="28">
        <v>225.21299999999999</v>
      </c>
      <c r="CK24" s="28">
        <v>12.918000000002394</v>
      </c>
      <c r="CL24" s="29">
        <f t="shared" si="41"/>
        <v>12015.778999999999</v>
      </c>
      <c r="CM24" s="28">
        <v>-0.96399999999999997</v>
      </c>
      <c r="CN24" s="25">
        <v>7800.4960000000001</v>
      </c>
      <c r="CO24" s="29">
        <f t="shared" si="42"/>
        <v>7799.5320000000002</v>
      </c>
      <c r="CP24" s="28">
        <v>2366.9050000000002</v>
      </c>
      <c r="CQ24" s="28">
        <v>100.00300000000016</v>
      </c>
      <c r="CR24" s="29">
        <f t="shared" si="43"/>
        <v>2466.9080000000004</v>
      </c>
      <c r="CS24" s="28">
        <v>261.19399999999996</v>
      </c>
      <c r="CT24" s="28">
        <v>1488.145</v>
      </c>
      <c r="CU24" s="42">
        <f t="shared" si="44"/>
        <v>12015.779</v>
      </c>
      <c r="CV24" s="28"/>
      <c r="CW24" s="43">
        <v>1461.1010000000001</v>
      </c>
      <c r="CX24" s="28"/>
      <c r="CY24" s="24">
        <v>400</v>
      </c>
      <c r="CZ24" s="25">
        <v>400</v>
      </c>
      <c r="DA24" s="25">
        <v>400</v>
      </c>
      <c r="DB24" s="25">
        <v>520</v>
      </c>
      <c r="DC24" s="25">
        <v>840</v>
      </c>
      <c r="DD24" s="25">
        <v>0</v>
      </c>
      <c r="DE24" s="26">
        <f t="shared" si="45"/>
        <v>2560</v>
      </c>
      <c r="DF24" s="34">
        <f t="shared" si="46"/>
        <v>0.21305318614798091</v>
      </c>
      <c r="DG24" s="68"/>
      <c r="DH24" s="44" t="s">
        <v>236</v>
      </c>
      <c r="DI24" s="45">
        <v>66.5</v>
      </c>
      <c r="DJ24" s="46">
        <v>6</v>
      </c>
      <c r="DK24" s="45" t="s">
        <v>168</v>
      </c>
      <c r="DL24" s="47" t="s">
        <v>169</v>
      </c>
      <c r="DM24" s="48" t="s">
        <v>172</v>
      </c>
      <c r="DN24" s="39">
        <v>0.32440195751806228</v>
      </c>
      <c r="DO24" s="66" t="s">
        <v>178</v>
      </c>
      <c r="DP24" s="67" t="s">
        <v>174</v>
      </c>
      <c r="DQ24" s="25"/>
      <c r="DR24" s="24">
        <v>1385.587</v>
      </c>
      <c r="DS24" s="25">
        <v>1495.587</v>
      </c>
      <c r="DT24" s="26">
        <v>1645.587</v>
      </c>
      <c r="DU24" s="25"/>
      <c r="DV24" s="44">
        <f t="shared" si="47"/>
        <v>6115.5325000000003</v>
      </c>
      <c r="DW24" s="25">
        <v>6190.5770000000002</v>
      </c>
      <c r="DX24" s="26">
        <v>6040.4880000000003</v>
      </c>
      <c r="DY24" s="25"/>
      <c r="DZ24" s="24">
        <v>1379.473</v>
      </c>
      <c r="EA24" s="25">
        <v>1506.9459999999999</v>
      </c>
      <c r="EB24" s="25">
        <v>1680.4829999999999</v>
      </c>
      <c r="EC24" s="26">
        <v>6816.1629999999996</v>
      </c>
      <c r="ED24" s="25"/>
      <c r="EE24" s="24">
        <v>435.61414425000004</v>
      </c>
      <c r="EF24" s="25">
        <v>21.299854500000002</v>
      </c>
      <c r="EG24" s="25">
        <v>931.29</v>
      </c>
      <c r="EH24" s="25">
        <v>73.725999999999999</v>
      </c>
      <c r="EI24" s="25">
        <v>1412.6670161299999</v>
      </c>
      <c r="EJ24" s="25">
        <v>155.55132565000002</v>
      </c>
      <c r="EK24" s="25">
        <v>46.46564575</v>
      </c>
      <c r="EL24" s="25">
        <v>0</v>
      </c>
      <c r="EM24" s="26">
        <v>6508.1909999999998</v>
      </c>
      <c r="EN24" s="26">
        <f t="shared" si="48"/>
        <v>9584.8049862799999</v>
      </c>
      <c r="EO24" s="45"/>
      <c r="EP24" s="36">
        <f t="shared" si="49"/>
        <v>4.5448409735362613E-2</v>
      </c>
      <c r="EQ24" s="33">
        <f t="shared" si="50"/>
        <v>2.222252255574245E-3</v>
      </c>
      <c r="ER24" s="33">
        <f t="shared" si="51"/>
        <v>9.7163166212883692E-2</v>
      </c>
      <c r="ES24" s="33">
        <f t="shared" si="52"/>
        <v>7.6919666185732297E-3</v>
      </c>
      <c r="ET24" s="33">
        <f t="shared" si="53"/>
        <v>0.14738609895059285</v>
      </c>
      <c r="EU24" s="33">
        <f t="shared" si="54"/>
        <v>1.6228950497444782E-2</v>
      </c>
      <c r="EV24" s="33">
        <f t="shared" si="55"/>
        <v>4.8478446683591818E-3</v>
      </c>
      <c r="EW24" s="33">
        <f t="shared" si="56"/>
        <v>0</v>
      </c>
      <c r="EX24" s="33">
        <f t="shared" si="57"/>
        <v>0.67901131106120938</v>
      </c>
      <c r="EY24" s="39">
        <f t="shared" si="58"/>
        <v>1</v>
      </c>
      <c r="EZ24" s="45"/>
      <c r="FA24" s="27">
        <v>97.786000000000001</v>
      </c>
      <c r="FB24" s="28">
        <v>233.989</v>
      </c>
      <c r="FC24" s="42">
        <f t="shared" si="59"/>
        <v>331.77499999999998</v>
      </c>
      <c r="FE24" s="27">
        <f>CB24</f>
        <v>23.420999999999999</v>
      </c>
      <c r="FF24" s="28">
        <f>CC24</f>
        <v>9.5650000000000013</v>
      </c>
      <c r="FG24" s="42">
        <f t="shared" si="60"/>
        <v>32.986000000000004</v>
      </c>
      <c r="FI24" s="53">
        <v>8753.9989999999998</v>
      </c>
      <c r="FJ24" s="54">
        <v>683.41399999999999</v>
      </c>
      <c r="FK24" s="55">
        <v>324.14299999999997</v>
      </c>
      <c r="FL24" s="56">
        <f t="shared" si="61"/>
        <v>9761.5560000000005</v>
      </c>
      <c r="FM24" s="57">
        <f t="shared" si="62"/>
        <v>0.89678315629188621</v>
      </c>
      <c r="FN24" s="58">
        <f t="shared" si="63"/>
        <v>7.0010764677270715E-2</v>
      </c>
      <c r="FO24" s="59">
        <f t="shared" si="64"/>
        <v>3.3206079030843029E-2</v>
      </c>
      <c r="FP24" s="61">
        <f t="shared" si="65"/>
        <v>1</v>
      </c>
      <c r="FR24" s="24">
        <f>FV24*E24</f>
        <v>6557.0659999999998</v>
      </c>
      <c r="FS24" s="25">
        <f>E24*FW24</f>
        <v>3204.5039999999999</v>
      </c>
      <c r="FT24" s="26">
        <f t="shared" si="66"/>
        <v>9761.57</v>
      </c>
      <c r="FV24" s="36">
        <v>0.67172247906842852</v>
      </c>
      <c r="FW24" s="33">
        <v>0.32827752093157148</v>
      </c>
      <c r="FX24" s="34">
        <f t="shared" si="67"/>
        <v>1</v>
      </c>
      <c r="FY24" s="45"/>
      <c r="FZ24" s="44">
        <f t="shared" si="68"/>
        <v>1440.6030000000001</v>
      </c>
      <c r="GA24" s="25">
        <v>1393.0610000000001</v>
      </c>
      <c r="GB24" s="26">
        <v>1488.145</v>
      </c>
      <c r="GD24" s="44">
        <f t="shared" si="69"/>
        <v>9522.8054999999986</v>
      </c>
      <c r="GE24" s="25">
        <v>9284.0409999999993</v>
      </c>
      <c r="GF24" s="26">
        <v>9761.57</v>
      </c>
      <c r="GH24" s="44">
        <f t="shared" si="70"/>
        <v>2810.1040000000003</v>
      </c>
      <c r="GI24" s="25">
        <v>2677.7280000000001</v>
      </c>
      <c r="GJ24" s="26">
        <f>F24</f>
        <v>2942.48</v>
      </c>
      <c r="GL24" s="44">
        <f t="shared" si="71"/>
        <v>12332.9095</v>
      </c>
      <c r="GM24" s="45">
        <f t="shared" si="72"/>
        <v>11961.769</v>
      </c>
      <c r="GN24" s="46">
        <f t="shared" si="73"/>
        <v>12704.05</v>
      </c>
      <c r="GP24" s="44">
        <f t="shared" si="74"/>
        <v>7712.3175000000001</v>
      </c>
      <c r="GQ24" s="25">
        <v>7624.1390000000001</v>
      </c>
      <c r="GR24" s="26">
        <f>G24</f>
        <v>7800.4960000000001</v>
      </c>
      <c r="GS24" s="25"/>
      <c r="GT24" s="44">
        <f t="shared" si="75"/>
        <v>11767.9185</v>
      </c>
      <c r="GU24" s="25">
        <v>11520.058000000001</v>
      </c>
      <c r="GV24" s="26">
        <f>C24</f>
        <v>12015.779</v>
      </c>
      <c r="GW24" s="25"/>
      <c r="GX24" s="61">
        <f>DX24/C24</f>
        <v>0.50271297433150197</v>
      </c>
      <c r="GY24" s="62"/>
    </row>
    <row r="25" spans="1:207" x14ac:dyDescent="0.25">
      <c r="A25" s="1"/>
      <c r="B25" s="23" t="s">
        <v>196</v>
      </c>
      <c r="C25" s="24">
        <v>9151.2819999999992</v>
      </c>
      <c r="D25" s="25">
        <f t="shared" si="0"/>
        <v>8323.9229999999989</v>
      </c>
      <c r="E25" s="25">
        <v>7214.31</v>
      </c>
      <c r="F25" s="25">
        <v>4004.069</v>
      </c>
      <c r="G25" s="25">
        <v>5683.5150000000003</v>
      </c>
      <c r="H25" s="25">
        <f t="shared" si="1"/>
        <v>13155.350999999999</v>
      </c>
      <c r="I25" s="26">
        <f t="shared" si="2"/>
        <v>11218.379000000001</v>
      </c>
      <c r="J25" s="25"/>
      <c r="K25" s="27">
        <v>116.13</v>
      </c>
      <c r="L25" s="28">
        <v>32.977000000000004</v>
      </c>
      <c r="M25" s="28">
        <v>0.97500000000000009</v>
      </c>
      <c r="N25" s="29">
        <f t="shared" si="3"/>
        <v>150.08199999999999</v>
      </c>
      <c r="O25" s="28">
        <v>75.407000000000011</v>
      </c>
      <c r="P25" s="29">
        <f t="shared" si="4"/>
        <v>74.674999999999983</v>
      </c>
      <c r="Q25" s="28">
        <v>5.1449999999999996</v>
      </c>
      <c r="R25" s="29">
        <f t="shared" si="5"/>
        <v>69.529999999999987</v>
      </c>
      <c r="S25" s="28">
        <v>13.28</v>
      </c>
      <c r="T25" s="28">
        <v>0.68000000000000016</v>
      </c>
      <c r="U25" s="28">
        <v>0</v>
      </c>
      <c r="V25" s="29">
        <f t="shared" si="6"/>
        <v>83.49</v>
      </c>
      <c r="W25" s="28">
        <v>17.552</v>
      </c>
      <c r="X25" s="30">
        <f t="shared" si="7"/>
        <v>65.937999999999988</v>
      </c>
      <c r="Y25" s="28"/>
      <c r="Z25" s="31">
        <f t="shared" si="8"/>
        <v>2.7902708854947365E-2</v>
      </c>
      <c r="AA25" s="32">
        <f t="shared" si="9"/>
        <v>7.9234274512150118E-3</v>
      </c>
      <c r="AB25" s="33">
        <f t="shared" si="10"/>
        <v>0.45968105729020625</v>
      </c>
      <c r="AC25" s="33">
        <f t="shared" si="11"/>
        <v>0.46159449565994548</v>
      </c>
      <c r="AD25" s="33">
        <f t="shared" si="12"/>
        <v>0.50243866686211547</v>
      </c>
      <c r="AE25" s="32">
        <f t="shared" si="13"/>
        <v>1.8118139728106573E-2</v>
      </c>
      <c r="AF25" s="32">
        <f t="shared" si="14"/>
        <v>1.5843010561246183E-2</v>
      </c>
      <c r="AG25" s="32">
        <f>X25/DV25*2</f>
        <v>3.0941463886746297E-2</v>
      </c>
      <c r="AH25" s="32">
        <f>(P25+S25+T25)/DV25*2</f>
        <v>4.1592050890256881E-2</v>
      </c>
      <c r="AI25" s="32">
        <f>R25/DV25*2</f>
        <v>3.2627013012913188E-2</v>
      </c>
      <c r="AJ25" s="34">
        <f>X25/FZ25*2</f>
        <v>0.10653443974821306</v>
      </c>
      <c r="AK25" s="35"/>
      <c r="AL25" s="36">
        <f t="shared" si="15"/>
        <v>0.19744195959080921</v>
      </c>
      <c r="AM25" s="33">
        <f t="shared" si="16"/>
        <v>0.146679683327577</v>
      </c>
      <c r="AN25" s="34">
        <f t="shared" si="17"/>
        <v>9.8541853106776933E-2</v>
      </c>
      <c r="AO25" s="28"/>
      <c r="AP25" s="36">
        <f t="shared" si="18"/>
        <v>0.78781130835797186</v>
      </c>
      <c r="AQ25" s="33">
        <f t="shared" si="19"/>
        <v>0.7315213634950759</v>
      </c>
      <c r="AR25" s="33">
        <f t="shared" si="20"/>
        <v>8.9324533983326029E-2</v>
      </c>
      <c r="AS25" s="33">
        <f t="shared" si="21"/>
        <v>0.43355318959682376</v>
      </c>
      <c r="AT25" s="33">
        <f t="shared" si="22"/>
        <v>0.13861402151086594</v>
      </c>
      <c r="AU25" s="37">
        <v>3.69</v>
      </c>
      <c r="AV25" s="38">
        <v>1.37</v>
      </c>
      <c r="AW25" s="28"/>
      <c r="AX25" s="36">
        <f>GB25/C25</f>
        <v>0.14171457070167873</v>
      </c>
      <c r="AY25" s="33">
        <v>0.12089999999999999</v>
      </c>
      <c r="AZ25" s="33">
        <f t="shared" si="23"/>
        <v>0.26931884291729002</v>
      </c>
      <c r="BA25" s="33">
        <f t="shared" si="24"/>
        <v>0.26856243430090598</v>
      </c>
      <c r="BB25" s="34">
        <f t="shared" si="25"/>
        <v>0.29525920899681302</v>
      </c>
      <c r="BC25" s="33"/>
      <c r="BD25" s="36">
        <f t="shared" si="26"/>
        <v>0.22066579086613025</v>
      </c>
      <c r="BE25" s="33">
        <f t="shared" si="27"/>
        <v>0.22468297845165766</v>
      </c>
      <c r="BF25" s="34">
        <f t="shared" si="28"/>
        <v>0.25198879705147154</v>
      </c>
      <c r="BG25" s="25"/>
      <c r="BH25" s="39">
        <v>2.1000000000000001E-2</v>
      </c>
      <c r="BI25" s="36">
        <f t="shared" si="29"/>
        <v>1.18125E-2</v>
      </c>
      <c r="BJ25" s="34">
        <f t="shared" si="30"/>
        <v>1.575E-2</v>
      </c>
      <c r="BK25" s="39">
        <v>0.01</v>
      </c>
      <c r="BL25" s="33"/>
      <c r="BM25" s="39">
        <f t="shared" si="31"/>
        <v>6.8853290866130235E-2</v>
      </c>
      <c r="BN25" s="34">
        <f t="shared" si="32"/>
        <v>5.3932978451657648E-2</v>
      </c>
      <c r="BO25" s="34">
        <f t="shared" si="33"/>
        <v>5.5988797051471528E-2</v>
      </c>
      <c r="BP25" s="28"/>
      <c r="BQ25" s="31">
        <f>Q25/GD25*2</f>
        <v>1.5544889153157038E-3</v>
      </c>
      <c r="BR25" s="33">
        <f t="shared" si="34"/>
        <v>5.8047046877644275E-2</v>
      </c>
      <c r="BS25" s="32">
        <f>FC25/E25</f>
        <v>2.2210855923851348E-2</v>
      </c>
      <c r="BT25" s="33">
        <f t="shared" si="35"/>
        <v>0.11996612953580846</v>
      </c>
      <c r="BU25" s="33">
        <f t="shared" si="36"/>
        <v>0.67862927986183008</v>
      </c>
      <c r="BV25" s="34">
        <f t="shared" si="37"/>
        <v>0.7933330653207562</v>
      </c>
      <c r="BW25" s="28"/>
      <c r="BX25" s="27">
        <v>53.673000000000002</v>
      </c>
      <c r="BY25" s="28">
        <v>345.42399999999998</v>
      </c>
      <c r="BZ25" s="29">
        <f t="shared" si="38"/>
        <v>399.09699999999998</v>
      </c>
      <c r="CA25" s="25">
        <v>7214.31</v>
      </c>
      <c r="CB25" s="28">
        <v>22.123000000000001</v>
      </c>
      <c r="CC25" s="28">
        <v>16.683999999999997</v>
      </c>
      <c r="CD25" s="29">
        <f t="shared" si="39"/>
        <v>7175.5030000000006</v>
      </c>
      <c r="CE25" s="28">
        <v>869.399</v>
      </c>
      <c r="CF25" s="28">
        <v>524.096</v>
      </c>
      <c r="CG25" s="29">
        <f t="shared" si="40"/>
        <v>1393.4949999999999</v>
      </c>
      <c r="CH25" s="28">
        <v>24.085000000000001</v>
      </c>
      <c r="CI25" s="28">
        <v>3.9E-2</v>
      </c>
      <c r="CJ25" s="28">
        <v>134.553</v>
      </c>
      <c r="CK25" s="28">
        <v>24.509999999998996</v>
      </c>
      <c r="CL25" s="29">
        <f t="shared" si="41"/>
        <v>9151.2819999999992</v>
      </c>
      <c r="CM25" s="28">
        <v>1.264</v>
      </c>
      <c r="CN25" s="25">
        <v>5683.5150000000003</v>
      </c>
      <c r="CO25" s="29">
        <f t="shared" si="42"/>
        <v>5684.7790000000005</v>
      </c>
      <c r="CP25" s="28">
        <v>1964.269</v>
      </c>
      <c r="CQ25" s="28">
        <v>84.966999999998961</v>
      </c>
      <c r="CR25" s="29">
        <f t="shared" si="43"/>
        <v>2049.235999999999</v>
      </c>
      <c r="CS25" s="28">
        <v>120.39700000000001</v>
      </c>
      <c r="CT25" s="28">
        <v>1296.8699999999999</v>
      </c>
      <c r="CU25" s="42">
        <f t="shared" si="44"/>
        <v>9151.2819999999992</v>
      </c>
      <c r="CV25" s="28"/>
      <c r="CW25" s="43">
        <v>1268.4960000000001</v>
      </c>
      <c r="CX25" s="28"/>
      <c r="CY25" s="24">
        <v>200</v>
      </c>
      <c r="CZ25" s="25">
        <v>600</v>
      </c>
      <c r="DA25" s="25">
        <v>325</v>
      </c>
      <c r="DB25" s="25">
        <v>325</v>
      </c>
      <c r="DC25" s="25">
        <v>600</v>
      </c>
      <c r="DD25" s="25">
        <v>70</v>
      </c>
      <c r="DE25" s="26">
        <f t="shared" si="45"/>
        <v>2120</v>
      </c>
      <c r="DF25" s="34">
        <f t="shared" si="46"/>
        <v>0.23166153113847876</v>
      </c>
      <c r="DG25" s="68"/>
      <c r="DH25" s="44" t="s">
        <v>235</v>
      </c>
      <c r="DI25" s="45">
        <v>67</v>
      </c>
      <c r="DJ25" s="46">
        <v>5</v>
      </c>
      <c r="DK25" s="45" t="s">
        <v>168</v>
      </c>
      <c r="DL25" s="47" t="s">
        <v>169</v>
      </c>
      <c r="DM25" s="45"/>
      <c r="DN25" s="39" t="s">
        <v>224</v>
      </c>
      <c r="DO25" s="66" t="s">
        <v>178</v>
      </c>
      <c r="DP25" s="67" t="s">
        <v>179</v>
      </c>
      <c r="DQ25" s="25"/>
      <c r="DR25" s="24">
        <v>1210.568</v>
      </c>
      <c r="DS25" s="25">
        <v>1207.1679999999999</v>
      </c>
      <c r="DT25" s="26">
        <v>1327.1679999999999</v>
      </c>
      <c r="DU25" s="25"/>
      <c r="DV25" s="44">
        <f t="shared" si="47"/>
        <v>4262.1125000000002</v>
      </c>
      <c r="DW25" s="25">
        <v>4029.3</v>
      </c>
      <c r="DX25" s="26">
        <v>4494.9250000000002</v>
      </c>
      <c r="DY25" s="25"/>
      <c r="DZ25" s="24">
        <v>1209.403</v>
      </c>
      <c r="EA25" s="25">
        <v>1231.42</v>
      </c>
      <c r="EB25" s="25">
        <v>1381.075</v>
      </c>
      <c r="EC25" s="26">
        <v>5480.7</v>
      </c>
      <c r="ED25" s="25"/>
      <c r="EE25" s="24">
        <v>476.38900000000001</v>
      </c>
      <c r="EF25" s="25">
        <v>52.953000000000003</v>
      </c>
      <c r="EG25" s="25">
        <v>405.24799999999999</v>
      </c>
      <c r="EH25" s="25">
        <v>184.84899999999999</v>
      </c>
      <c r="EI25" s="25">
        <v>966.73099999999999</v>
      </c>
      <c r="EJ25" s="25">
        <v>120.173</v>
      </c>
      <c r="EK25" s="25">
        <v>33.045000000000002</v>
      </c>
      <c r="EL25" s="25">
        <v>25.267000000000735</v>
      </c>
      <c r="EM25" s="26">
        <v>4747.0559999999996</v>
      </c>
      <c r="EN25" s="26">
        <f t="shared" si="48"/>
        <v>7011.7110000000002</v>
      </c>
      <c r="EO25" s="45"/>
      <c r="EP25" s="36">
        <f t="shared" si="49"/>
        <v>6.7941904622138588E-2</v>
      </c>
      <c r="EQ25" s="33">
        <f t="shared" si="50"/>
        <v>7.5520796564490468E-3</v>
      </c>
      <c r="ER25" s="33">
        <f t="shared" si="51"/>
        <v>5.7795878923133023E-2</v>
      </c>
      <c r="ES25" s="33">
        <f t="shared" si="52"/>
        <v>2.6362894876870994E-2</v>
      </c>
      <c r="ET25" s="33">
        <f t="shared" si="53"/>
        <v>0.13787376576130989</v>
      </c>
      <c r="EU25" s="33">
        <f t="shared" si="54"/>
        <v>1.7138898052130213E-2</v>
      </c>
      <c r="EV25" s="33">
        <f t="shared" si="55"/>
        <v>4.7128297215900655E-3</v>
      </c>
      <c r="EW25" s="33">
        <f t="shared" si="56"/>
        <v>3.6035427016317036E-3</v>
      </c>
      <c r="EX25" s="33">
        <f t="shared" si="57"/>
        <v>0.67701820568474647</v>
      </c>
      <c r="EY25" s="39">
        <f t="shared" si="58"/>
        <v>0.99999999999999989</v>
      </c>
      <c r="EZ25" s="45"/>
      <c r="FA25" s="27">
        <v>80.64500000000001</v>
      </c>
      <c r="FB25" s="28">
        <v>79.591000000000008</v>
      </c>
      <c r="FC25" s="42">
        <f t="shared" si="59"/>
        <v>160.23600000000002</v>
      </c>
      <c r="FE25" s="27">
        <f>CB25</f>
        <v>22.123000000000001</v>
      </c>
      <c r="FF25" s="28">
        <f>CC25</f>
        <v>16.683999999999997</v>
      </c>
      <c r="FG25" s="42">
        <f t="shared" si="60"/>
        <v>38.807000000000002</v>
      </c>
      <c r="FI25" s="53">
        <v>6155.8230000000003</v>
      </c>
      <c r="FJ25" s="54">
        <v>872.86199999999997</v>
      </c>
      <c r="FK25" s="55">
        <v>155.102</v>
      </c>
      <c r="FL25" s="56">
        <f t="shared" si="61"/>
        <v>7183.7870000000003</v>
      </c>
      <c r="FM25" s="57">
        <f t="shared" si="62"/>
        <v>0.85690500010648984</v>
      </c>
      <c r="FN25" s="58">
        <f t="shared" si="63"/>
        <v>0.12150443770117349</v>
      </c>
      <c r="FO25" s="59">
        <f t="shared" si="64"/>
        <v>2.1590562192336717E-2</v>
      </c>
      <c r="FP25" s="61">
        <f t="shared" si="65"/>
        <v>1</v>
      </c>
      <c r="FR25" s="24">
        <f>FV25*E25</f>
        <v>4895.8419999999996</v>
      </c>
      <c r="FS25" s="25">
        <f>E25*FW25</f>
        <v>2318.4680000000008</v>
      </c>
      <c r="FT25" s="26">
        <f t="shared" si="66"/>
        <v>7214.31</v>
      </c>
      <c r="FV25" s="36">
        <v>0.67862927986183008</v>
      </c>
      <c r="FW25" s="33">
        <v>0.32137072013816992</v>
      </c>
      <c r="FX25" s="34">
        <f t="shared" si="67"/>
        <v>1</v>
      </c>
      <c r="FY25" s="45"/>
      <c r="FZ25" s="44">
        <f t="shared" si="68"/>
        <v>1237.8719999999998</v>
      </c>
      <c r="GA25" s="25">
        <v>1178.874</v>
      </c>
      <c r="GB25" s="26">
        <v>1296.8699999999999</v>
      </c>
      <c r="GD25" s="44">
        <f t="shared" si="69"/>
        <v>6619.5390000000007</v>
      </c>
      <c r="GE25" s="25">
        <v>6024.768</v>
      </c>
      <c r="GF25" s="26">
        <v>7214.31</v>
      </c>
      <c r="GH25" s="44">
        <f t="shared" si="70"/>
        <v>3881.33</v>
      </c>
      <c r="GI25" s="25">
        <v>3758.5909999999999</v>
      </c>
      <c r="GJ25" s="26">
        <f>F25</f>
        <v>4004.069</v>
      </c>
      <c r="GL25" s="44">
        <f t="shared" si="71"/>
        <v>10500.869000000001</v>
      </c>
      <c r="GM25" s="45">
        <f t="shared" si="72"/>
        <v>9783.3590000000004</v>
      </c>
      <c r="GN25" s="46">
        <f t="shared" si="73"/>
        <v>11218.379000000001</v>
      </c>
      <c r="GP25" s="44">
        <f t="shared" si="74"/>
        <v>5428.6025</v>
      </c>
      <c r="GQ25" s="25">
        <v>5173.6899999999996</v>
      </c>
      <c r="GR25" s="26">
        <f>G25</f>
        <v>5683.5150000000003</v>
      </c>
      <c r="GS25" s="25"/>
      <c r="GT25" s="44">
        <f t="shared" si="75"/>
        <v>8323.9229999999989</v>
      </c>
      <c r="GU25" s="25">
        <v>7496.5640000000003</v>
      </c>
      <c r="GV25" s="26">
        <f>C25</f>
        <v>9151.2819999999992</v>
      </c>
      <c r="GW25" s="25"/>
      <c r="GX25" s="61">
        <f>DX25/C25</f>
        <v>0.49117981502482388</v>
      </c>
      <c r="GY25" s="62"/>
    </row>
    <row r="26" spans="1:207" x14ac:dyDescent="0.25">
      <c r="A26" s="1"/>
      <c r="B26" s="23" t="s">
        <v>197</v>
      </c>
      <c r="C26" s="24">
        <v>4334.8040000000001</v>
      </c>
      <c r="D26" s="25">
        <f t="shared" si="0"/>
        <v>4188.01</v>
      </c>
      <c r="E26" s="25">
        <v>3457.8789999999999</v>
      </c>
      <c r="F26" s="25">
        <v>865.14499999999998</v>
      </c>
      <c r="G26" s="25">
        <v>3012.2</v>
      </c>
      <c r="H26" s="25">
        <f t="shared" si="1"/>
        <v>5199.9490000000005</v>
      </c>
      <c r="I26" s="26">
        <f t="shared" si="2"/>
        <v>4323.0239999999994</v>
      </c>
      <c r="J26" s="25"/>
      <c r="K26" s="27">
        <v>59.941000000000003</v>
      </c>
      <c r="L26" s="28">
        <v>12.844000000000001</v>
      </c>
      <c r="M26" s="28">
        <v>0.45400000000000001</v>
      </c>
      <c r="N26" s="29">
        <f t="shared" si="3"/>
        <v>73.23899999999999</v>
      </c>
      <c r="O26" s="28">
        <v>27.981999999999999</v>
      </c>
      <c r="P26" s="29">
        <f t="shared" si="4"/>
        <v>45.256999999999991</v>
      </c>
      <c r="Q26" s="28">
        <v>2.1669999999999998</v>
      </c>
      <c r="R26" s="29">
        <f t="shared" si="5"/>
        <v>43.089999999999989</v>
      </c>
      <c r="S26" s="28">
        <v>7.2370000000000001</v>
      </c>
      <c r="T26" s="28">
        <v>0.624</v>
      </c>
      <c r="U26" s="28">
        <v>0</v>
      </c>
      <c r="V26" s="29">
        <f t="shared" si="6"/>
        <v>50.950999999999993</v>
      </c>
      <c r="W26" s="28">
        <v>12.7</v>
      </c>
      <c r="X26" s="30">
        <f t="shared" si="7"/>
        <v>38.250999999999991</v>
      </c>
      <c r="Y26" s="28"/>
      <c r="Z26" s="31">
        <f t="shared" si="8"/>
        <v>2.8625051038560081E-2</v>
      </c>
      <c r="AA26" s="32">
        <f t="shared" si="9"/>
        <v>6.1337007313736125E-3</v>
      </c>
      <c r="AB26" s="33">
        <f t="shared" si="10"/>
        <v>0.34503082614056729</v>
      </c>
      <c r="AC26" s="33">
        <f t="shared" si="11"/>
        <v>0.34770614841691938</v>
      </c>
      <c r="AD26" s="33">
        <f t="shared" si="12"/>
        <v>0.38206420076735076</v>
      </c>
      <c r="AE26" s="32">
        <f t="shared" si="13"/>
        <v>1.3362909830683306E-2</v>
      </c>
      <c r="AF26" s="32">
        <f t="shared" si="14"/>
        <v>1.8266909582355339E-2</v>
      </c>
      <c r="AG26" s="32">
        <f>X26/DV26*2</f>
        <v>3.438850851497894E-2</v>
      </c>
      <c r="AH26" s="32">
        <f>(P26+S26+T26)/DV26*2</f>
        <v>4.7754275582302469E-2</v>
      </c>
      <c r="AI26" s="32">
        <f>R26/DV26*2</f>
        <v>3.8738878249207673E-2</v>
      </c>
      <c r="AJ26" s="34">
        <f>X26/FZ26*2</f>
        <v>0.10441756653374813</v>
      </c>
      <c r="AK26" s="35"/>
      <c r="AL26" s="36">
        <f t="shared" si="15"/>
        <v>8.4030338863816237E-2</v>
      </c>
      <c r="AM26" s="33">
        <f t="shared" si="16"/>
        <v>0.11513735743578116</v>
      </c>
      <c r="AN26" s="34">
        <f t="shared" si="17"/>
        <v>4.3699773984010704E-2</v>
      </c>
      <c r="AO26" s="28"/>
      <c r="AP26" s="36">
        <f t="shared" si="18"/>
        <v>0.87111203139265425</v>
      </c>
      <c r="AQ26" s="33">
        <f t="shared" si="19"/>
        <v>0.85337585197348476</v>
      </c>
      <c r="AR26" s="33">
        <f t="shared" si="20"/>
        <v>-3.291106126136268E-2</v>
      </c>
      <c r="AS26" s="33">
        <f t="shared" si="21"/>
        <v>0.21918372779945761</v>
      </c>
      <c r="AT26" s="33">
        <f t="shared" si="22"/>
        <v>0.15230423336326165</v>
      </c>
      <c r="AU26" s="37">
        <v>5.6269999999999998</v>
      </c>
      <c r="AV26" s="38">
        <v>1.333</v>
      </c>
      <c r="AW26" s="28"/>
      <c r="AX26" s="36">
        <f>GB26/C26</f>
        <v>0.17706706001009503</v>
      </c>
      <c r="AY26" s="33">
        <v>0.156</v>
      </c>
      <c r="AZ26" s="33">
        <f t="shared" si="23"/>
        <v>0.31713067390386157</v>
      </c>
      <c r="BA26" s="33">
        <f t="shared" si="24"/>
        <v>0.31713067390386157</v>
      </c>
      <c r="BB26" s="34">
        <f t="shared" si="25"/>
        <v>0.31713067390386157</v>
      </c>
      <c r="BC26" s="33"/>
      <c r="BD26" s="36">
        <f t="shared" si="26"/>
        <v>0.28497298721512765</v>
      </c>
      <c r="BE26" s="33">
        <f t="shared" si="27"/>
        <v>0.28711864034632961</v>
      </c>
      <c r="BF26" s="34">
        <f t="shared" si="28"/>
        <v>0.29001000654227005</v>
      </c>
      <c r="BG26" s="25"/>
      <c r="BH26" s="39">
        <v>0.02</v>
      </c>
      <c r="BI26" s="36">
        <f t="shared" si="29"/>
        <v>1.125E-2</v>
      </c>
      <c r="BJ26" s="34">
        <f t="shared" si="30"/>
        <v>1.4999999999999999E-2</v>
      </c>
      <c r="BK26" s="39">
        <v>1.4999999999999999E-2</v>
      </c>
      <c r="BL26" s="33"/>
      <c r="BM26" s="39">
        <f t="shared" si="31"/>
        <v>0.13372298721512763</v>
      </c>
      <c r="BN26" s="34">
        <f t="shared" si="32"/>
        <v>0.11711864034632963</v>
      </c>
      <c r="BO26" s="34">
        <f t="shared" si="33"/>
        <v>9.5010006542270042E-2</v>
      </c>
      <c r="BP26" s="28"/>
      <c r="BQ26" s="31">
        <f>Q26/GD26*2</f>
        <v>1.3039066807166071E-3</v>
      </c>
      <c r="BR26" s="33">
        <f t="shared" si="34"/>
        <v>4.079596370345269E-2</v>
      </c>
      <c r="BS26" s="32">
        <f>FC26/E26</f>
        <v>2.9756969518019573E-2</v>
      </c>
      <c r="BT26" s="33">
        <f t="shared" si="35"/>
        <v>0.1269192816262088</v>
      </c>
      <c r="BU26" s="33">
        <f t="shared" si="36"/>
        <v>0.65726880553078926</v>
      </c>
      <c r="BV26" s="34">
        <f t="shared" si="37"/>
        <v>0.72585787171202387</v>
      </c>
      <c r="BW26" s="28"/>
      <c r="BX26" s="27">
        <v>79.822999999999993</v>
      </c>
      <c r="BY26" s="28">
        <v>119.53700000000001</v>
      </c>
      <c r="BZ26" s="29">
        <f t="shared" si="38"/>
        <v>199.36</v>
      </c>
      <c r="CA26" s="25">
        <v>3457.8789999999999</v>
      </c>
      <c r="CB26" s="28">
        <v>37.185000000000002</v>
      </c>
      <c r="CC26" s="28">
        <v>5.984</v>
      </c>
      <c r="CD26" s="29">
        <f t="shared" si="39"/>
        <v>3414.71</v>
      </c>
      <c r="CE26" s="28">
        <v>451.82799999999997</v>
      </c>
      <c r="CF26" s="28">
        <v>236.87100000000001</v>
      </c>
      <c r="CG26" s="29">
        <f t="shared" si="40"/>
        <v>688.69899999999996</v>
      </c>
      <c r="CH26" s="28">
        <v>0</v>
      </c>
      <c r="CI26" s="28">
        <v>0</v>
      </c>
      <c r="CJ26" s="28">
        <v>15.787000000000001</v>
      </c>
      <c r="CK26" s="28">
        <v>16.248000000000424</v>
      </c>
      <c r="CL26" s="29">
        <f t="shared" si="41"/>
        <v>4334.804000000001</v>
      </c>
      <c r="CM26" s="28">
        <v>0</v>
      </c>
      <c r="CN26" s="25">
        <v>3012.2</v>
      </c>
      <c r="CO26" s="29">
        <f t="shared" si="42"/>
        <v>3012.2</v>
      </c>
      <c r="CP26" s="28">
        <v>517.54600000000005</v>
      </c>
      <c r="CQ26" s="28">
        <v>37.507000000000176</v>
      </c>
      <c r="CR26" s="29">
        <f t="shared" si="43"/>
        <v>555.05300000000022</v>
      </c>
      <c r="CS26" s="28">
        <v>0</v>
      </c>
      <c r="CT26" s="28">
        <v>767.55100000000004</v>
      </c>
      <c r="CU26" s="42">
        <f t="shared" si="44"/>
        <v>4334.8040000000001</v>
      </c>
      <c r="CV26" s="28"/>
      <c r="CW26" s="43">
        <v>660.20900000000006</v>
      </c>
      <c r="CX26" s="28"/>
      <c r="CY26" s="24">
        <v>0</v>
      </c>
      <c r="CZ26" s="25">
        <v>80</v>
      </c>
      <c r="DA26" s="25">
        <v>245</v>
      </c>
      <c r="DB26" s="25">
        <v>190</v>
      </c>
      <c r="DC26" s="25">
        <v>0</v>
      </c>
      <c r="DD26" s="25">
        <v>0</v>
      </c>
      <c r="DE26" s="26">
        <f t="shared" si="45"/>
        <v>515</v>
      </c>
      <c r="DF26" s="34">
        <f t="shared" si="46"/>
        <v>0.11880583297422444</v>
      </c>
      <c r="DG26" s="68"/>
      <c r="DH26" s="44" t="s">
        <v>232</v>
      </c>
      <c r="DI26" s="45">
        <v>28</v>
      </c>
      <c r="DJ26" s="46">
        <v>2</v>
      </c>
      <c r="DK26" s="45" t="s">
        <v>168</v>
      </c>
      <c r="DL26" s="47" t="s">
        <v>169</v>
      </c>
      <c r="DM26" s="45"/>
      <c r="DN26" s="39" t="s">
        <v>224</v>
      </c>
      <c r="DO26" s="36"/>
      <c r="DP26" s="34"/>
      <c r="DQ26" s="25"/>
      <c r="DR26" s="24">
        <v>705.78700000000003</v>
      </c>
      <c r="DS26" s="25">
        <v>705.78700000000003</v>
      </c>
      <c r="DT26" s="26">
        <v>705.78700000000003</v>
      </c>
      <c r="DU26" s="25"/>
      <c r="DV26" s="44">
        <f t="shared" si="47"/>
        <v>2224.6385</v>
      </c>
      <c r="DW26" s="25">
        <v>2223.7370000000001</v>
      </c>
      <c r="DX26" s="26">
        <v>2225.54</v>
      </c>
      <c r="DY26" s="25"/>
      <c r="DZ26" s="24">
        <v>700.86</v>
      </c>
      <c r="EA26" s="25">
        <v>706.13699999999994</v>
      </c>
      <c r="EB26" s="25">
        <v>713.24800000000005</v>
      </c>
      <c r="EC26" s="26">
        <v>2459.3910000000001</v>
      </c>
      <c r="ED26" s="25"/>
      <c r="EE26" s="24">
        <v>162.17699999999999</v>
      </c>
      <c r="EF26" s="25">
        <v>27.745000000000001</v>
      </c>
      <c r="EG26" s="25">
        <v>191.102</v>
      </c>
      <c r="EH26" s="25">
        <v>52.795000000000002</v>
      </c>
      <c r="EI26" s="25">
        <v>528.58799999999997</v>
      </c>
      <c r="EJ26" s="25">
        <v>59.975000000000001</v>
      </c>
      <c r="EK26" s="25">
        <v>8.3879999999999999</v>
      </c>
      <c r="EL26" s="25">
        <v>97.658000000000357</v>
      </c>
      <c r="EM26" s="26">
        <v>2241.663</v>
      </c>
      <c r="EN26" s="26">
        <f t="shared" si="48"/>
        <v>3370.0910000000003</v>
      </c>
      <c r="EO26" s="45"/>
      <c r="EP26" s="36">
        <f t="shared" si="49"/>
        <v>4.8122439423742558E-2</v>
      </c>
      <c r="EQ26" s="33">
        <f t="shared" si="50"/>
        <v>8.2327153777153189E-3</v>
      </c>
      <c r="ER26" s="33">
        <f t="shared" si="51"/>
        <v>5.6705293714620755E-2</v>
      </c>
      <c r="ES26" s="33">
        <f t="shared" si="52"/>
        <v>1.5665749085113725E-2</v>
      </c>
      <c r="ET26" s="33">
        <f t="shared" si="53"/>
        <v>0.1568468032465592</v>
      </c>
      <c r="EU26" s="33">
        <f t="shared" si="54"/>
        <v>1.7796255353342089E-2</v>
      </c>
      <c r="EV26" s="33">
        <f t="shared" si="55"/>
        <v>2.4889535623815497E-3</v>
      </c>
      <c r="EW26" s="33">
        <f t="shared" si="56"/>
        <v>2.897785252683098E-2</v>
      </c>
      <c r="EX26" s="33">
        <f t="shared" si="57"/>
        <v>0.66516393770969384</v>
      </c>
      <c r="EY26" s="39">
        <f t="shared" si="58"/>
        <v>1</v>
      </c>
      <c r="EZ26" s="45"/>
      <c r="FA26" s="27">
        <v>3.66</v>
      </c>
      <c r="FB26" s="28">
        <v>99.236000000000004</v>
      </c>
      <c r="FC26" s="42">
        <f t="shared" si="59"/>
        <v>102.896</v>
      </c>
      <c r="FE26" s="27">
        <f>CB26</f>
        <v>37.185000000000002</v>
      </c>
      <c r="FF26" s="28">
        <f>CC26</f>
        <v>5.984</v>
      </c>
      <c r="FG26" s="42">
        <f t="shared" si="60"/>
        <v>43.169000000000004</v>
      </c>
      <c r="FI26" s="53">
        <v>3099.125</v>
      </c>
      <c r="FJ26" s="54">
        <v>275.42700000000002</v>
      </c>
      <c r="FK26" s="55">
        <v>83.331999999999994</v>
      </c>
      <c r="FL26" s="56">
        <f t="shared" si="61"/>
        <v>3457.884</v>
      </c>
      <c r="FM26" s="57">
        <f t="shared" si="62"/>
        <v>0.89624897769849998</v>
      </c>
      <c r="FN26" s="58">
        <f t="shared" si="63"/>
        <v>7.965189115655702E-2</v>
      </c>
      <c r="FO26" s="59">
        <f t="shared" si="64"/>
        <v>2.4099131144942974E-2</v>
      </c>
      <c r="FP26" s="61">
        <f t="shared" si="65"/>
        <v>1</v>
      </c>
      <c r="FR26" s="24">
        <f>FV26*E26</f>
        <v>2272.7559999999999</v>
      </c>
      <c r="FS26" s="25">
        <f>E26*FW26</f>
        <v>1185.123</v>
      </c>
      <c r="FT26" s="26">
        <f t="shared" si="66"/>
        <v>3457.8789999999999</v>
      </c>
      <c r="FV26" s="36">
        <v>0.65726880553078926</v>
      </c>
      <c r="FW26" s="33">
        <v>0.34273119446921074</v>
      </c>
      <c r="FX26" s="34">
        <f t="shared" si="67"/>
        <v>1</v>
      </c>
      <c r="FY26" s="45"/>
      <c r="FZ26" s="44">
        <f t="shared" si="68"/>
        <v>732.6545000000001</v>
      </c>
      <c r="GA26" s="25">
        <v>697.75800000000004</v>
      </c>
      <c r="GB26" s="26">
        <v>767.55100000000004</v>
      </c>
      <c r="GD26" s="44">
        <f t="shared" si="69"/>
        <v>3323.8575000000001</v>
      </c>
      <c r="GE26" s="25">
        <v>3189.8359999999998</v>
      </c>
      <c r="GF26" s="26">
        <v>3457.8789999999999</v>
      </c>
      <c r="GH26" s="44">
        <f t="shared" si="70"/>
        <v>775.99149999999997</v>
      </c>
      <c r="GI26" s="25">
        <v>686.83799999999997</v>
      </c>
      <c r="GJ26" s="26">
        <f>F26</f>
        <v>865.14499999999998</v>
      </c>
      <c r="GL26" s="44">
        <f t="shared" si="71"/>
        <v>4099.8490000000002</v>
      </c>
      <c r="GM26" s="45">
        <f t="shared" si="72"/>
        <v>3876.674</v>
      </c>
      <c r="GN26" s="46">
        <f t="shared" si="73"/>
        <v>4323.0239999999994</v>
      </c>
      <c r="GP26" s="44">
        <f t="shared" si="74"/>
        <v>2949.1395000000002</v>
      </c>
      <c r="GQ26" s="25">
        <v>2886.0790000000002</v>
      </c>
      <c r="GR26" s="26">
        <f>G26</f>
        <v>3012.2</v>
      </c>
      <c r="GS26" s="25"/>
      <c r="GT26" s="44">
        <f t="shared" si="75"/>
        <v>4188.01</v>
      </c>
      <c r="GU26" s="25">
        <v>4041.2159999999999</v>
      </c>
      <c r="GV26" s="26">
        <f>C26</f>
        <v>4334.8040000000001</v>
      </c>
      <c r="GW26" s="25"/>
      <c r="GX26" s="61">
        <f>DX26/C26</f>
        <v>0.51341190974263196</v>
      </c>
      <c r="GY26" s="62"/>
    </row>
    <row r="27" spans="1:207" x14ac:dyDescent="0.25">
      <c r="A27" s="1"/>
      <c r="B27" s="23" t="s">
        <v>198</v>
      </c>
      <c r="C27" s="24">
        <v>15542.489</v>
      </c>
      <c r="D27" s="25">
        <f t="shared" si="0"/>
        <v>14799.754000000001</v>
      </c>
      <c r="E27" s="25">
        <v>12571.402</v>
      </c>
      <c r="F27" s="25">
        <v>4727.6310000000003</v>
      </c>
      <c r="G27" s="25">
        <v>10014.986999999999</v>
      </c>
      <c r="H27" s="25">
        <f t="shared" si="1"/>
        <v>20270.12</v>
      </c>
      <c r="I27" s="26">
        <f t="shared" si="2"/>
        <v>17299.032999999999</v>
      </c>
      <c r="J27" s="25"/>
      <c r="K27" s="27">
        <v>159.24700000000001</v>
      </c>
      <c r="L27" s="28">
        <v>42.532000000000004</v>
      </c>
      <c r="M27" s="28">
        <v>9.9000000000000005E-2</v>
      </c>
      <c r="N27" s="29">
        <f t="shared" si="3"/>
        <v>201.87800000000001</v>
      </c>
      <c r="O27" s="28">
        <v>81.146000000000001</v>
      </c>
      <c r="P27" s="29">
        <f t="shared" si="4"/>
        <v>120.73200000000001</v>
      </c>
      <c r="Q27" s="28">
        <v>3.1930000000000001</v>
      </c>
      <c r="R27" s="29">
        <f t="shared" si="5"/>
        <v>117.53900000000002</v>
      </c>
      <c r="S27" s="28">
        <v>21.905000000000001</v>
      </c>
      <c r="T27" s="28">
        <v>1.7439999999999998</v>
      </c>
      <c r="U27" s="28">
        <v>0</v>
      </c>
      <c r="V27" s="29">
        <f t="shared" si="6"/>
        <v>141.18800000000002</v>
      </c>
      <c r="W27" s="28">
        <v>29.808999999999997</v>
      </c>
      <c r="X27" s="30">
        <f t="shared" si="7"/>
        <v>111.37900000000002</v>
      </c>
      <c r="Y27" s="28"/>
      <c r="Z27" s="31">
        <f t="shared" si="8"/>
        <v>2.1520222565861568E-2</v>
      </c>
      <c r="AA27" s="32">
        <f t="shared" si="9"/>
        <v>5.7476631030488751E-3</v>
      </c>
      <c r="AB27" s="33">
        <f t="shared" si="10"/>
        <v>0.35980614294519059</v>
      </c>
      <c r="AC27" s="33">
        <f t="shared" si="11"/>
        <v>0.36261020720966292</v>
      </c>
      <c r="AD27" s="33">
        <f t="shared" si="12"/>
        <v>0.40195563657258343</v>
      </c>
      <c r="AE27" s="32">
        <f t="shared" si="13"/>
        <v>1.096585794601721E-2</v>
      </c>
      <c r="AF27" s="32">
        <f t="shared" si="14"/>
        <v>1.5051466395995503E-2</v>
      </c>
      <c r="AG27" s="32">
        <f>X27/DV27*2</f>
        <v>3.1233082687791021E-2</v>
      </c>
      <c r="AH27" s="32">
        <f>(P27+S27+T27)/DV27*2</f>
        <v>4.048755790181232E-2</v>
      </c>
      <c r="AI27" s="32">
        <f>R27/DV27*2</f>
        <v>3.2960480036993228E-2</v>
      </c>
      <c r="AJ27" s="34">
        <f>X27/FZ27*2</f>
        <v>0.11163993042739144</v>
      </c>
      <c r="AK27" s="35"/>
      <c r="AL27" s="36">
        <f t="shared" si="15"/>
        <v>8.3179792273248676E-2</v>
      </c>
      <c r="AM27" s="33">
        <f t="shared" si="16"/>
        <v>8.4748486691273231E-2</v>
      </c>
      <c r="AN27" s="34">
        <f t="shared" si="17"/>
        <v>8.9828540312336627E-2</v>
      </c>
      <c r="AO27" s="28"/>
      <c r="AP27" s="36">
        <f t="shared" si="18"/>
        <v>0.7966483770067968</v>
      </c>
      <c r="AQ27" s="33">
        <f t="shared" si="19"/>
        <v>0.75024232146775305</v>
      </c>
      <c r="AR27" s="33">
        <f t="shared" si="20"/>
        <v>8.3535140349785694E-2</v>
      </c>
      <c r="AS27" s="33">
        <f t="shared" si="21"/>
        <v>0.36206758775894909</v>
      </c>
      <c r="AT27" s="33">
        <f t="shared" si="22"/>
        <v>0.13097464633882</v>
      </c>
      <c r="AU27" s="37">
        <v>5.29</v>
      </c>
      <c r="AV27" s="38">
        <v>1.35</v>
      </c>
      <c r="AW27" s="28"/>
      <c r="AX27" s="36">
        <f>GB27/C27</f>
        <v>0.13460147856627083</v>
      </c>
      <c r="AY27" s="33">
        <v>0.1182</v>
      </c>
      <c r="AZ27" s="33">
        <f t="shared" si="23"/>
        <v>0.26772149948525281</v>
      </c>
      <c r="BA27" s="33">
        <f t="shared" si="24"/>
        <v>0.26725379760173479</v>
      </c>
      <c r="BB27" s="34">
        <f t="shared" si="25"/>
        <v>0.27688295402710583</v>
      </c>
      <c r="BC27" s="33"/>
      <c r="BD27" s="36">
        <f t="shared" si="26"/>
        <v>0.22889727203446486</v>
      </c>
      <c r="BE27" s="33">
        <f t="shared" si="27"/>
        <v>0.2320599457763248</v>
      </c>
      <c r="BF27" s="34">
        <f t="shared" si="28"/>
        <v>0.24464297039073662</v>
      </c>
      <c r="BG27" s="25"/>
      <c r="BH27" s="39">
        <v>0.02</v>
      </c>
      <c r="BI27" s="36">
        <f t="shared" si="29"/>
        <v>1.125E-2</v>
      </c>
      <c r="BJ27" s="34">
        <f t="shared" si="30"/>
        <v>1.4999999999999999E-2</v>
      </c>
      <c r="BK27" s="39">
        <v>1.4999999999999999E-2</v>
      </c>
      <c r="BL27" s="33"/>
      <c r="BM27" s="39">
        <f t="shared" si="31"/>
        <v>7.7647272034464837E-2</v>
      </c>
      <c r="BN27" s="34">
        <f t="shared" si="32"/>
        <v>6.2059945776324815E-2</v>
      </c>
      <c r="BO27" s="34">
        <f t="shared" si="33"/>
        <v>4.9642970390736618E-2</v>
      </c>
      <c r="BP27" s="28"/>
      <c r="BQ27" s="31">
        <f>Q27/GD27*2</f>
        <v>5.2826153727416226E-4</v>
      </c>
      <c r="BR27" s="33">
        <f t="shared" si="34"/>
        <v>2.2115098246999261E-2</v>
      </c>
      <c r="BS27" s="32">
        <f>FC27/E27</f>
        <v>2.1799955168087064E-2</v>
      </c>
      <c r="BT27" s="33">
        <f t="shared" si="35"/>
        <v>0.12843144146550636</v>
      </c>
      <c r="BU27" s="33">
        <f t="shared" si="36"/>
        <v>0.74698971522826174</v>
      </c>
      <c r="BV27" s="34">
        <f t="shared" si="37"/>
        <v>0.81613457815821266</v>
      </c>
      <c r="BW27" s="28"/>
      <c r="BX27" s="27">
        <v>13.002000000000001</v>
      </c>
      <c r="BY27" s="28">
        <v>467.94</v>
      </c>
      <c r="BZ27" s="29">
        <f t="shared" si="38"/>
        <v>480.94200000000001</v>
      </c>
      <c r="CA27" s="25">
        <v>12571.402</v>
      </c>
      <c r="CB27" s="28">
        <v>28.625</v>
      </c>
      <c r="CC27" s="28">
        <v>13.202999999999999</v>
      </c>
      <c r="CD27" s="29">
        <f t="shared" si="39"/>
        <v>12529.574000000001</v>
      </c>
      <c r="CE27" s="28">
        <v>1534.759</v>
      </c>
      <c r="CF27" s="28">
        <v>898.31299999999999</v>
      </c>
      <c r="CG27" s="29">
        <f t="shared" si="40"/>
        <v>2433.0720000000001</v>
      </c>
      <c r="CH27" s="28">
        <v>12.805999999999999</v>
      </c>
      <c r="CI27" s="28">
        <v>0</v>
      </c>
      <c r="CJ27" s="28">
        <v>80.846999999999994</v>
      </c>
      <c r="CK27" s="28">
        <v>5.2479999999980294</v>
      </c>
      <c r="CL27" s="29">
        <f t="shared" si="41"/>
        <v>15542.488999999998</v>
      </c>
      <c r="CM27" s="28">
        <v>0</v>
      </c>
      <c r="CN27" s="25">
        <v>10014.986999999999</v>
      </c>
      <c r="CO27" s="29">
        <f t="shared" si="42"/>
        <v>10014.986999999999</v>
      </c>
      <c r="CP27" s="28">
        <v>3263.616</v>
      </c>
      <c r="CQ27" s="28">
        <v>101.44400000000041</v>
      </c>
      <c r="CR27" s="29">
        <f t="shared" si="43"/>
        <v>3365.0600000000004</v>
      </c>
      <c r="CS27" s="28">
        <v>70.400000000000006</v>
      </c>
      <c r="CT27" s="28">
        <v>2092.0419999999999</v>
      </c>
      <c r="CU27" s="42">
        <f t="shared" si="44"/>
        <v>15542.488999999998</v>
      </c>
      <c r="CV27" s="28"/>
      <c r="CW27" s="43">
        <v>2035.672</v>
      </c>
      <c r="CX27" s="28"/>
      <c r="CY27" s="24">
        <v>0</v>
      </c>
      <c r="CZ27" s="25">
        <v>0</v>
      </c>
      <c r="DA27" s="25">
        <v>0</v>
      </c>
      <c r="DB27" s="25">
        <v>0</v>
      </c>
      <c r="DC27" s="25">
        <v>0</v>
      </c>
      <c r="DD27" s="25">
        <v>0</v>
      </c>
      <c r="DE27" s="26">
        <f t="shared" si="45"/>
        <v>0</v>
      </c>
      <c r="DF27" s="34">
        <f t="shared" si="46"/>
        <v>0</v>
      </c>
      <c r="DG27" s="68"/>
      <c r="DH27" s="44" t="s">
        <v>236</v>
      </c>
      <c r="DI27" s="45">
        <v>74.8</v>
      </c>
      <c r="DJ27" s="46">
        <v>7</v>
      </c>
      <c r="DK27" s="45" t="s">
        <v>168</v>
      </c>
      <c r="DL27" s="47" t="s">
        <v>169</v>
      </c>
      <c r="DM27" s="45"/>
      <c r="DN27" s="39" t="s">
        <v>224</v>
      </c>
      <c r="DO27" s="66" t="s">
        <v>178</v>
      </c>
      <c r="DP27" s="67" t="s">
        <v>174</v>
      </c>
      <c r="DQ27" s="25"/>
      <c r="DR27" s="24">
        <v>1946.2250000000001</v>
      </c>
      <c r="DS27" s="25">
        <v>1942.825</v>
      </c>
      <c r="DT27" s="26">
        <v>2012.825</v>
      </c>
      <c r="DU27" s="25"/>
      <c r="DV27" s="44">
        <f t="shared" si="47"/>
        <v>7132.1170000000002</v>
      </c>
      <c r="DW27" s="25">
        <v>6994.6459999999997</v>
      </c>
      <c r="DX27" s="26">
        <v>7269.5879999999997</v>
      </c>
      <c r="DY27" s="25"/>
      <c r="DZ27" s="24">
        <v>1938.192</v>
      </c>
      <c r="EA27" s="25">
        <v>1964.972</v>
      </c>
      <c r="EB27" s="25">
        <v>2071.5189999999998</v>
      </c>
      <c r="EC27" s="26">
        <v>8467.5190000000002</v>
      </c>
      <c r="ED27" s="25"/>
      <c r="EE27" s="24">
        <v>877.14800000000002</v>
      </c>
      <c r="EF27" s="25">
        <v>180.41200000000001</v>
      </c>
      <c r="EG27" s="25">
        <v>466.82799999999997</v>
      </c>
      <c r="EH27" s="25">
        <v>60.829000000000001</v>
      </c>
      <c r="EI27" s="25">
        <v>1056.1030000000001</v>
      </c>
      <c r="EJ27" s="25">
        <v>307.839</v>
      </c>
      <c r="EK27" s="25">
        <v>59.309999999999995</v>
      </c>
      <c r="EL27" s="25">
        <v>156.11600000000362</v>
      </c>
      <c r="EM27" s="26">
        <v>9211.0139999999992</v>
      </c>
      <c r="EN27" s="26">
        <f t="shared" si="48"/>
        <v>12375.599000000002</v>
      </c>
      <c r="EO27" s="45"/>
      <c r="EP27" s="36">
        <f t="shared" si="49"/>
        <v>7.0877215721032963E-2</v>
      </c>
      <c r="EQ27" s="33">
        <f t="shared" si="50"/>
        <v>1.4578041838621304E-2</v>
      </c>
      <c r="ER27" s="33">
        <f t="shared" si="51"/>
        <v>3.7721648867258858E-2</v>
      </c>
      <c r="ES27" s="33">
        <f t="shared" si="52"/>
        <v>4.9152368301526245E-3</v>
      </c>
      <c r="ET27" s="33">
        <f t="shared" si="53"/>
        <v>8.5337525884605664E-2</v>
      </c>
      <c r="EU27" s="33">
        <f t="shared" si="54"/>
        <v>2.4874674753116995E-2</v>
      </c>
      <c r="EV27" s="33">
        <f t="shared" si="55"/>
        <v>4.7924952965912992E-3</v>
      </c>
      <c r="EW27" s="33">
        <f t="shared" si="56"/>
        <v>1.2614823734996875E-2</v>
      </c>
      <c r="EX27" s="33">
        <f t="shared" si="57"/>
        <v>0.74428833707362352</v>
      </c>
      <c r="EY27" s="39">
        <f t="shared" si="58"/>
        <v>1</v>
      </c>
      <c r="EZ27" s="45"/>
      <c r="FA27" s="27">
        <v>57.634</v>
      </c>
      <c r="FB27" s="28">
        <v>216.42200000000003</v>
      </c>
      <c r="FC27" s="42">
        <f t="shared" si="59"/>
        <v>274.05600000000004</v>
      </c>
      <c r="FE27" s="27">
        <f>CB27</f>
        <v>28.625</v>
      </c>
      <c r="FF27" s="28">
        <f>CC27</f>
        <v>13.202999999999999</v>
      </c>
      <c r="FG27" s="42">
        <f t="shared" si="60"/>
        <v>41.828000000000003</v>
      </c>
      <c r="FI27" s="53">
        <v>11261.096</v>
      </c>
      <c r="FJ27" s="54">
        <v>1051.441</v>
      </c>
      <c r="FK27" s="55">
        <v>258.86599999999999</v>
      </c>
      <c r="FL27" s="56">
        <f t="shared" si="61"/>
        <v>12571.403</v>
      </c>
      <c r="FM27" s="57">
        <f t="shared" si="62"/>
        <v>0.89577082207928582</v>
      </c>
      <c r="FN27" s="58">
        <f t="shared" si="63"/>
        <v>8.3637522399051242E-2</v>
      </c>
      <c r="FO27" s="59">
        <f t="shared" si="64"/>
        <v>2.0591655521662935E-2</v>
      </c>
      <c r="FP27" s="61">
        <f t="shared" si="65"/>
        <v>1</v>
      </c>
      <c r="FR27" s="24">
        <f>FV27*E27</f>
        <v>9390.7080000000005</v>
      </c>
      <c r="FS27" s="25">
        <f>E27*FW27</f>
        <v>3180.694</v>
      </c>
      <c r="FT27" s="26">
        <f t="shared" si="66"/>
        <v>12571.402</v>
      </c>
      <c r="FV27" s="36">
        <v>0.74698971522826174</v>
      </c>
      <c r="FW27" s="33">
        <v>0.25301028477173826</v>
      </c>
      <c r="FX27" s="34">
        <f t="shared" si="67"/>
        <v>1</v>
      </c>
      <c r="FY27" s="45"/>
      <c r="FZ27" s="44">
        <f t="shared" si="68"/>
        <v>1995.3254999999999</v>
      </c>
      <c r="GA27" s="25">
        <v>1898.6089999999999</v>
      </c>
      <c r="GB27" s="26">
        <v>2092.0419999999999</v>
      </c>
      <c r="GD27" s="44">
        <f t="shared" si="69"/>
        <v>12088.708999999999</v>
      </c>
      <c r="GE27" s="25">
        <v>11606.016</v>
      </c>
      <c r="GF27" s="26">
        <v>12571.402</v>
      </c>
      <c r="GH27" s="44">
        <f t="shared" si="70"/>
        <v>4534.5604999999996</v>
      </c>
      <c r="GI27" s="25">
        <v>4341.49</v>
      </c>
      <c r="GJ27" s="26">
        <f>F27</f>
        <v>4727.6310000000003</v>
      </c>
      <c r="GL27" s="44">
        <f t="shared" si="71"/>
        <v>16623.269499999999</v>
      </c>
      <c r="GM27" s="45">
        <f t="shared" si="72"/>
        <v>15947.505999999999</v>
      </c>
      <c r="GN27" s="46">
        <f t="shared" si="73"/>
        <v>17299.032999999999</v>
      </c>
      <c r="GP27" s="44">
        <f t="shared" si="74"/>
        <v>9602.2469999999994</v>
      </c>
      <c r="GQ27" s="25">
        <v>9189.5069999999996</v>
      </c>
      <c r="GR27" s="26">
        <f>G27</f>
        <v>10014.986999999999</v>
      </c>
      <c r="GS27" s="25"/>
      <c r="GT27" s="44">
        <f t="shared" si="75"/>
        <v>14799.754000000001</v>
      </c>
      <c r="GU27" s="25">
        <v>14057.019</v>
      </c>
      <c r="GV27" s="26">
        <f>C27</f>
        <v>15542.489</v>
      </c>
      <c r="GW27" s="25"/>
      <c r="GX27" s="61">
        <f>DX27/C27</f>
        <v>0.46772354157689927</v>
      </c>
      <c r="GY27" s="62"/>
    </row>
    <row r="28" spans="1:207" x14ac:dyDescent="0.25">
      <c r="A28" s="1"/>
      <c r="B28" s="23" t="s">
        <v>199</v>
      </c>
      <c r="C28" s="24">
        <v>8311.0609999999997</v>
      </c>
      <c r="D28" s="25">
        <f t="shared" si="0"/>
        <v>7619.9054999999998</v>
      </c>
      <c r="E28" s="25">
        <v>4361.2669999999998</v>
      </c>
      <c r="F28" s="25">
        <v>411.66500000000002</v>
      </c>
      <c r="G28" s="25">
        <v>6741.942</v>
      </c>
      <c r="H28" s="25">
        <f t="shared" si="1"/>
        <v>8722.7260000000006</v>
      </c>
      <c r="I28" s="26">
        <f t="shared" si="2"/>
        <v>4772.9319999999998</v>
      </c>
      <c r="J28" s="25"/>
      <c r="K28" s="27">
        <v>73.730999999999995</v>
      </c>
      <c r="L28" s="28">
        <v>0.81499999999999995</v>
      </c>
      <c r="M28" s="28">
        <v>0</v>
      </c>
      <c r="N28" s="29">
        <f t="shared" si="3"/>
        <v>74.545999999999992</v>
      </c>
      <c r="O28" s="28">
        <v>26.744</v>
      </c>
      <c r="P28" s="29">
        <f t="shared" si="4"/>
        <v>47.801999999999992</v>
      </c>
      <c r="Q28" s="28">
        <v>0.27100000000000002</v>
      </c>
      <c r="R28" s="29">
        <f t="shared" si="5"/>
        <v>47.530999999999992</v>
      </c>
      <c r="S28" s="28">
        <v>4.9830000000000005</v>
      </c>
      <c r="T28" s="28">
        <v>-0.78599999999999992</v>
      </c>
      <c r="U28" s="28">
        <v>0</v>
      </c>
      <c r="V28" s="29">
        <f t="shared" si="6"/>
        <v>51.727999999999994</v>
      </c>
      <c r="W28" s="28">
        <v>11.687000000000001</v>
      </c>
      <c r="X28" s="30">
        <f t="shared" si="7"/>
        <v>40.040999999999997</v>
      </c>
      <c r="Y28" s="28"/>
      <c r="Z28" s="31">
        <f t="shared" si="8"/>
        <v>1.9352208501798349E-2</v>
      </c>
      <c r="AA28" s="32">
        <f t="shared" si="9"/>
        <v>2.1391341401806097E-4</v>
      </c>
      <c r="AB28" s="33">
        <f t="shared" si="10"/>
        <v>0.33963653912093777</v>
      </c>
      <c r="AC28" s="33">
        <f t="shared" si="11"/>
        <v>0.33627984760276125</v>
      </c>
      <c r="AD28" s="33">
        <f t="shared" si="12"/>
        <v>0.35875835054865457</v>
      </c>
      <c r="AE28" s="32">
        <f t="shared" si="13"/>
        <v>7.0195096251521759E-3</v>
      </c>
      <c r="AF28" s="32">
        <f t="shared" si="14"/>
        <v>1.0509579154229669E-2</v>
      </c>
      <c r="AG28" s="32">
        <f>X28/DV28*2</f>
        <v>3.1797959351009056E-2</v>
      </c>
      <c r="AH28" s="32">
        <f>(P28+S28+T28)/DV28*2</f>
        <v>4.1294225626061283E-2</v>
      </c>
      <c r="AI28" s="32">
        <f>R28/DV28*2</f>
        <v>3.7746030466592029E-2</v>
      </c>
      <c r="AJ28" s="34">
        <f>X28/FZ28*2</f>
        <v>0.13618496067859501</v>
      </c>
      <c r="AK28" s="35"/>
      <c r="AL28" s="36">
        <f t="shared" si="15"/>
        <v>0.19250161733896734</v>
      </c>
      <c r="AM28" s="33">
        <f t="shared" si="16"/>
        <v>0.19427948740083484</v>
      </c>
      <c r="AN28" s="34">
        <f t="shared" si="17"/>
        <v>0.22848349678025945</v>
      </c>
      <c r="AO28" s="28"/>
      <c r="AP28" s="36">
        <f t="shared" si="18"/>
        <v>1.5458677489821193</v>
      </c>
      <c r="AQ28" s="33">
        <f t="shared" si="19"/>
        <v>0.88078667912999686</v>
      </c>
      <c r="AR28" s="33">
        <f t="shared" si="20"/>
        <v>-0.3486554845404215</v>
      </c>
      <c r="AS28" s="33">
        <f t="shared" si="21"/>
        <v>0.12427504743377532</v>
      </c>
      <c r="AT28" s="33">
        <f t="shared" si="22"/>
        <v>0.45845049145951405</v>
      </c>
      <c r="AU28" s="37">
        <v>3.56</v>
      </c>
      <c r="AV28" s="38">
        <v>1.623</v>
      </c>
      <c r="AW28" s="28"/>
      <c r="AX28" s="36">
        <f>GB28/C28</f>
        <v>7.4325287709956653E-2</v>
      </c>
      <c r="AY28" s="33">
        <v>7.1599999999999997E-2</v>
      </c>
      <c r="AZ28" s="33">
        <f t="shared" si="23"/>
        <v>0.22727106003666325</v>
      </c>
      <c r="BA28" s="33">
        <f t="shared" si="24"/>
        <v>0.24321853543170213</v>
      </c>
      <c r="BB28" s="34">
        <f t="shared" si="25"/>
        <v>0.26119931393960849</v>
      </c>
      <c r="BC28" s="33"/>
      <c r="BD28" s="36">
        <f t="shared" si="26"/>
        <v>0.2161942582379161</v>
      </c>
      <c r="BE28" s="33">
        <f t="shared" si="27"/>
        <v>0.23247098042548195</v>
      </c>
      <c r="BF28" s="34">
        <f t="shared" si="28"/>
        <v>0.25101203158171115</v>
      </c>
      <c r="BG28" s="25"/>
      <c r="BH28" s="39">
        <v>2.8000000000000001E-2</v>
      </c>
      <c r="BI28" s="36">
        <f t="shared" si="29"/>
        <v>1.575E-2</v>
      </c>
      <c r="BJ28" s="34">
        <f t="shared" si="30"/>
        <v>2.1000000000000001E-2</v>
      </c>
      <c r="BK28" s="39">
        <v>0.01</v>
      </c>
      <c r="BL28" s="33"/>
      <c r="BM28" s="39">
        <f t="shared" si="31"/>
        <v>6.0444258237916104E-2</v>
      </c>
      <c r="BN28" s="34">
        <f t="shared" si="32"/>
        <v>5.6470980425481959E-2</v>
      </c>
      <c r="BO28" s="34">
        <f t="shared" si="33"/>
        <v>4.8012031581711134E-2</v>
      </c>
      <c r="BP28" s="28"/>
      <c r="BQ28" s="31">
        <f>Q28/GD28*2</f>
        <v>1.3518722745088895E-4</v>
      </c>
      <c r="BR28" s="33">
        <f t="shared" si="34"/>
        <v>5.2116386853593346E-3</v>
      </c>
      <c r="BS28" s="32">
        <f>FC28/E28</f>
        <v>1.4877786661536659E-2</v>
      </c>
      <c r="BT28" s="33">
        <f t="shared" si="35"/>
        <v>0.10271273960264229</v>
      </c>
      <c r="BU28" s="33">
        <f t="shared" si="36"/>
        <v>0.74032041606258003</v>
      </c>
      <c r="BV28" s="34">
        <f t="shared" si="37"/>
        <v>0.76271775923059459</v>
      </c>
      <c r="BW28" s="28"/>
      <c r="BX28" s="27">
        <v>2327.1120000000001</v>
      </c>
      <c r="BY28" s="28">
        <v>986.24900000000002</v>
      </c>
      <c r="BZ28" s="29">
        <f t="shared" si="38"/>
        <v>3313.3609999999999</v>
      </c>
      <c r="CA28" s="25">
        <v>4361.2669999999998</v>
      </c>
      <c r="CB28" s="28">
        <v>9.9730000000000008</v>
      </c>
      <c r="CC28" s="28">
        <v>4.0280000000000005</v>
      </c>
      <c r="CD28" s="29">
        <f t="shared" si="39"/>
        <v>4347.2659999999996</v>
      </c>
      <c r="CE28" s="28">
        <v>496.84899999999999</v>
      </c>
      <c r="CF28" s="28">
        <v>132.136</v>
      </c>
      <c r="CG28" s="29">
        <f t="shared" si="40"/>
        <v>628.98500000000001</v>
      </c>
      <c r="CH28" s="28">
        <v>0</v>
      </c>
      <c r="CI28" s="28">
        <v>0</v>
      </c>
      <c r="CJ28" s="28">
        <v>17.423999999999999</v>
      </c>
      <c r="CK28" s="28">
        <v>4.0250000000001833</v>
      </c>
      <c r="CL28" s="29">
        <f t="shared" si="41"/>
        <v>8311.0609999999997</v>
      </c>
      <c r="CM28" s="28">
        <v>101.976</v>
      </c>
      <c r="CN28" s="25">
        <v>6741.942</v>
      </c>
      <c r="CO28" s="29">
        <f t="shared" si="42"/>
        <v>6843.9179999999997</v>
      </c>
      <c r="CP28" s="28">
        <v>725.04899999999998</v>
      </c>
      <c r="CQ28" s="28">
        <v>38.884000000000015</v>
      </c>
      <c r="CR28" s="29">
        <f t="shared" si="43"/>
        <v>763.93299999999999</v>
      </c>
      <c r="CS28" s="28">
        <v>85.488</v>
      </c>
      <c r="CT28" s="28">
        <v>617.72199999999998</v>
      </c>
      <c r="CU28" s="42">
        <f t="shared" si="44"/>
        <v>8311.0609999999997</v>
      </c>
      <c r="CV28" s="28"/>
      <c r="CW28" s="43">
        <v>3810.21</v>
      </c>
      <c r="CX28" s="28"/>
      <c r="CY28" s="24">
        <v>170</v>
      </c>
      <c r="CZ28" s="25">
        <v>195</v>
      </c>
      <c r="DA28" s="25">
        <v>190</v>
      </c>
      <c r="DB28" s="25">
        <v>200</v>
      </c>
      <c r="DC28" s="25">
        <v>150</v>
      </c>
      <c r="DD28" s="25">
        <v>0</v>
      </c>
      <c r="DE28" s="26">
        <f t="shared" si="45"/>
        <v>905</v>
      </c>
      <c r="DF28" s="34">
        <f t="shared" si="46"/>
        <v>0.10889103088041346</v>
      </c>
      <c r="DG28" s="68"/>
      <c r="DH28" s="44" t="s">
        <v>235</v>
      </c>
      <c r="DI28" s="45">
        <v>18</v>
      </c>
      <c r="DJ28" s="46">
        <v>1</v>
      </c>
      <c r="DK28" s="45" t="s">
        <v>168</v>
      </c>
      <c r="DL28" s="47" t="s">
        <v>169</v>
      </c>
      <c r="DM28" s="45"/>
      <c r="DN28" s="39" t="s">
        <v>224</v>
      </c>
      <c r="DO28" s="36"/>
      <c r="DP28" s="34"/>
      <c r="DQ28" s="25"/>
      <c r="DR28" s="24">
        <v>570.04899999999998</v>
      </c>
      <c r="DS28" s="25">
        <v>610.04899999999998</v>
      </c>
      <c r="DT28" s="26">
        <v>655.149</v>
      </c>
      <c r="DU28" s="25"/>
      <c r="DV28" s="44">
        <f t="shared" si="47"/>
        <v>2518.4634999999998</v>
      </c>
      <c r="DW28" s="25">
        <v>2528.6930000000002</v>
      </c>
      <c r="DX28" s="26">
        <v>2508.2339999999999</v>
      </c>
      <c r="DY28" s="25"/>
      <c r="DZ28" s="24">
        <v>567.33199999999999</v>
      </c>
      <c r="EA28" s="25">
        <v>610.04499999999996</v>
      </c>
      <c r="EB28" s="25">
        <v>658.7</v>
      </c>
      <c r="EC28" s="26">
        <v>2624.1770000000001</v>
      </c>
      <c r="ED28" s="25"/>
      <c r="EE28" s="24">
        <v>0</v>
      </c>
      <c r="EF28" s="25">
        <v>4.5959511099999997</v>
      </c>
      <c r="EG28" s="25">
        <v>309.88284830000003</v>
      </c>
      <c r="EH28" s="25">
        <v>17.108007069999999</v>
      </c>
      <c r="EI28" s="25">
        <v>411</v>
      </c>
      <c r="EJ28" s="25">
        <v>88.036385240000001</v>
      </c>
      <c r="EK28" s="25">
        <v>0</v>
      </c>
      <c r="EL28" s="25">
        <v>-0.11319172000003164</v>
      </c>
      <c r="EM28" s="26">
        <v>3017.0709999999999</v>
      </c>
      <c r="EN28" s="26">
        <f t="shared" si="48"/>
        <v>3847.5809999999997</v>
      </c>
      <c r="EO28" s="45"/>
      <c r="EP28" s="36">
        <f t="shared" si="49"/>
        <v>0</v>
      </c>
      <c r="EQ28" s="33">
        <f t="shared" si="50"/>
        <v>1.1945040559250084E-3</v>
      </c>
      <c r="ER28" s="33">
        <f t="shared" si="51"/>
        <v>8.0539655513425207E-2</v>
      </c>
      <c r="ES28" s="33">
        <f t="shared" si="52"/>
        <v>4.4464319451624282E-3</v>
      </c>
      <c r="ET28" s="33">
        <f t="shared" si="53"/>
        <v>0.10682036323601765</v>
      </c>
      <c r="EU28" s="33">
        <f t="shared" si="54"/>
        <v>2.288096994969047E-2</v>
      </c>
      <c r="EV28" s="33">
        <f t="shared" si="55"/>
        <v>0</v>
      </c>
      <c r="EW28" s="33">
        <f t="shared" si="56"/>
        <v>-2.9418931011467114E-5</v>
      </c>
      <c r="EX28" s="33">
        <f t="shared" si="57"/>
        <v>0.78414749423079078</v>
      </c>
      <c r="EY28" s="39">
        <f t="shared" si="58"/>
        <v>1.0000000000000002</v>
      </c>
      <c r="EZ28" s="45"/>
      <c r="FA28" s="27">
        <v>57.420999999999999</v>
      </c>
      <c r="FB28" s="28">
        <v>7.4649999999999999</v>
      </c>
      <c r="FC28" s="42">
        <f t="shared" si="59"/>
        <v>64.885999999999996</v>
      </c>
      <c r="FE28" s="27">
        <f>CB28</f>
        <v>9.9730000000000008</v>
      </c>
      <c r="FF28" s="28">
        <f>CC28</f>
        <v>4.0280000000000005</v>
      </c>
      <c r="FG28" s="42">
        <f t="shared" si="60"/>
        <v>14.001000000000001</v>
      </c>
      <c r="FI28" s="53">
        <v>3972.2640000000001</v>
      </c>
      <c r="FJ28" s="54">
        <v>270.34199999999998</v>
      </c>
      <c r="FK28" s="55">
        <v>118.661</v>
      </c>
      <c r="FL28" s="56">
        <f t="shared" si="61"/>
        <v>4361.2669999999998</v>
      </c>
      <c r="FM28" s="57">
        <f t="shared" si="62"/>
        <v>0.91080504816604901</v>
      </c>
      <c r="FN28" s="58">
        <f t="shared" si="63"/>
        <v>6.1987032667341853E-2</v>
      </c>
      <c r="FO28" s="59">
        <f t="shared" si="64"/>
        <v>2.7207919166609154E-2</v>
      </c>
      <c r="FP28" s="61">
        <f t="shared" si="65"/>
        <v>1</v>
      </c>
      <c r="FR28" s="24">
        <f>FV28*E28</f>
        <v>3228.7350000000001</v>
      </c>
      <c r="FS28" s="25">
        <f>E28*FW28</f>
        <v>1132.5319999999997</v>
      </c>
      <c r="FT28" s="26">
        <f t="shared" si="66"/>
        <v>4361.2669999999998</v>
      </c>
      <c r="FV28" s="36">
        <v>0.74032041606258003</v>
      </c>
      <c r="FW28" s="33">
        <v>0.25967958393741997</v>
      </c>
      <c r="FX28" s="34">
        <f t="shared" si="67"/>
        <v>1</v>
      </c>
      <c r="FY28" s="45"/>
      <c r="FZ28" s="44">
        <f t="shared" si="68"/>
        <v>588.0385</v>
      </c>
      <c r="GA28" s="25">
        <v>558.35500000000002</v>
      </c>
      <c r="GB28" s="26">
        <v>617.72199999999998</v>
      </c>
      <c r="GD28" s="44">
        <f t="shared" si="69"/>
        <v>4009.2545</v>
      </c>
      <c r="GE28" s="25">
        <v>3657.2420000000002</v>
      </c>
      <c r="GF28" s="26">
        <v>4361.2669999999998</v>
      </c>
      <c r="GH28" s="44">
        <f t="shared" si="70"/>
        <v>375.459</v>
      </c>
      <c r="GI28" s="25">
        <v>339.25299999999999</v>
      </c>
      <c r="GJ28" s="26">
        <f>F28</f>
        <v>411.66500000000002</v>
      </c>
      <c r="GL28" s="44">
        <f t="shared" si="71"/>
        <v>4384.7134999999998</v>
      </c>
      <c r="GM28" s="45">
        <f t="shared" si="72"/>
        <v>3996.4950000000003</v>
      </c>
      <c r="GN28" s="46">
        <f t="shared" si="73"/>
        <v>4772.9319999999998</v>
      </c>
      <c r="GP28" s="44">
        <f t="shared" si="74"/>
        <v>6114.9809999999998</v>
      </c>
      <c r="GQ28" s="25">
        <v>5488.02</v>
      </c>
      <c r="GR28" s="26">
        <f>G28</f>
        <v>6741.942</v>
      </c>
      <c r="GS28" s="25"/>
      <c r="GT28" s="44">
        <f t="shared" si="75"/>
        <v>7619.9054999999998</v>
      </c>
      <c r="GU28" s="25">
        <v>6928.75</v>
      </c>
      <c r="GV28" s="26">
        <f>C28</f>
        <v>8311.0609999999997</v>
      </c>
      <c r="GW28" s="25"/>
      <c r="GX28" s="61">
        <f>DX28/C28</f>
        <v>0.30179468060696463</v>
      </c>
      <c r="GY28" s="62"/>
    </row>
    <row r="29" spans="1:207" x14ac:dyDescent="0.25">
      <c r="A29" s="1"/>
      <c r="B29" s="23" t="s">
        <v>200</v>
      </c>
      <c r="C29" s="24">
        <v>3053.942</v>
      </c>
      <c r="D29" s="25">
        <f t="shared" si="0"/>
        <v>2865.5410000000002</v>
      </c>
      <c r="E29" s="25">
        <v>2504.672</v>
      </c>
      <c r="F29" s="25">
        <v>683.553</v>
      </c>
      <c r="G29" s="25">
        <v>2154.2159999999999</v>
      </c>
      <c r="H29" s="25">
        <f t="shared" si="1"/>
        <v>3737.4949999999999</v>
      </c>
      <c r="I29" s="26">
        <f t="shared" si="2"/>
        <v>3188.2249999999999</v>
      </c>
      <c r="J29" s="25"/>
      <c r="K29" s="27">
        <v>29.784999999999997</v>
      </c>
      <c r="L29" s="28">
        <v>6.36</v>
      </c>
      <c r="M29" s="28">
        <v>0</v>
      </c>
      <c r="N29" s="29">
        <f t="shared" si="3"/>
        <v>36.144999999999996</v>
      </c>
      <c r="O29" s="28">
        <v>17.222999999999999</v>
      </c>
      <c r="P29" s="29">
        <f t="shared" si="4"/>
        <v>18.921999999999997</v>
      </c>
      <c r="Q29" s="28">
        <v>-0.497</v>
      </c>
      <c r="R29" s="29">
        <f t="shared" si="5"/>
        <v>19.418999999999997</v>
      </c>
      <c r="S29" s="28">
        <v>4.859</v>
      </c>
      <c r="T29" s="28">
        <v>0.46700000000000003</v>
      </c>
      <c r="U29" s="28">
        <v>-0.17399999999999999</v>
      </c>
      <c r="V29" s="29">
        <f t="shared" si="6"/>
        <v>24.570999999999998</v>
      </c>
      <c r="W29" s="28">
        <v>5.65</v>
      </c>
      <c r="X29" s="30">
        <f t="shared" si="7"/>
        <v>18.920999999999999</v>
      </c>
      <c r="Y29" s="28"/>
      <c r="Z29" s="31">
        <f t="shared" si="8"/>
        <v>2.0788395629306993E-2</v>
      </c>
      <c r="AA29" s="32">
        <f t="shared" si="9"/>
        <v>4.4389523653648646E-3</v>
      </c>
      <c r="AB29" s="33">
        <f t="shared" si="10"/>
        <v>0.41530225941019028</v>
      </c>
      <c r="AC29" s="33">
        <f t="shared" si="11"/>
        <v>0.42003219198127012</v>
      </c>
      <c r="AD29" s="33">
        <f t="shared" si="12"/>
        <v>0.47649744086318996</v>
      </c>
      <c r="AE29" s="32">
        <f t="shared" si="13"/>
        <v>1.2020766759226267E-2</v>
      </c>
      <c r="AF29" s="32">
        <f t="shared" si="14"/>
        <v>1.3205883286960471E-2</v>
      </c>
      <c r="AG29" s="32">
        <f>X29/DV29*2</f>
        <v>2.8407990451095641E-2</v>
      </c>
      <c r="AH29" s="32">
        <f>(P29+S29+T29)/DV29*2</f>
        <v>3.6405948547020089E-2</v>
      </c>
      <c r="AI29" s="32">
        <f>R29/DV29*2</f>
        <v>2.9155687678760436E-2</v>
      </c>
      <c r="AJ29" s="34">
        <f>X29/FZ29*2</f>
        <v>9.985052238008478E-2</v>
      </c>
      <c r="AK29" s="35"/>
      <c r="AL29" s="36">
        <f t="shared" si="15"/>
        <v>0.10411662409052733</v>
      </c>
      <c r="AM29" s="33">
        <f t="shared" si="16"/>
        <v>0.11905434647170009</v>
      </c>
      <c r="AN29" s="34">
        <f t="shared" si="17"/>
        <v>0.1495657009112889</v>
      </c>
      <c r="AO29" s="28"/>
      <c r="AP29" s="36">
        <f t="shared" si="18"/>
        <v>0.86007908420743306</v>
      </c>
      <c r="AQ29" s="33">
        <f t="shared" si="19"/>
        <v>0.81384746914659989</v>
      </c>
      <c r="AR29" s="33">
        <f t="shared" si="20"/>
        <v>1.418494522816738E-2</v>
      </c>
      <c r="AS29" s="33">
        <f t="shared" si="21"/>
        <v>0.27325780908740244</v>
      </c>
      <c r="AT29" s="33">
        <f t="shared" si="22"/>
        <v>0.14715963826424996</v>
      </c>
      <c r="AU29" s="37">
        <v>4.38</v>
      </c>
      <c r="AV29" s="38">
        <v>1.43</v>
      </c>
      <c r="AW29" s="28"/>
      <c r="AX29" s="36">
        <f>GB29/C29</f>
        <v>0.12823000567790746</v>
      </c>
      <c r="AY29" s="33">
        <v>0.11310000000000001</v>
      </c>
      <c r="AZ29" s="33">
        <f t="shared" si="23"/>
        <v>0.25498690665456158</v>
      </c>
      <c r="BA29" s="33">
        <f t="shared" si="24"/>
        <v>0.25498690665456158</v>
      </c>
      <c r="BB29" s="34">
        <f t="shared" si="25"/>
        <v>0.25498690665456158</v>
      </c>
      <c r="BC29" s="33"/>
      <c r="BD29" s="36">
        <f t="shared" si="26"/>
        <v>0.22502928519463863</v>
      </c>
      <c r="BE29" s="33">
        <f t="shared" si="27"/>
        <v>0.22759898395787864</v>
      </c>
      <c r="BF29" s="34">
        <f t="shared" si="28"/>
        <v>0.2310601856989605</v>
      </c>
      <c r="BG29" s="25"/>
      <c r="BH29" s="39">
        <v>0.02</v>
      </c>
      <c r="BI29" s="36">
        <f t="shared" si="29"/>
        <v>1.125E-2</v>
      </c>
      <c r="BJ29" s="34">
        <f t="shared" si="30"/>
        <v>1.4999999999999999E-2</v>
      </c>
      <c r="BK29" s="39">
        <v>1.4999999999999999E-2</v>
      </c>
      <c r="BL29" s="33"/>
      <c r="BM29" s="39">
        <f t="shared" si="31"/>
        <v>7.3779285194638611E-2</v>
      </c>
      <c r="BN29" s="34">
        <f t="shared" si="32"/>
        <v>5.7598983957878658E-2</v>
      </c>
      <c r="BO29" s="34">
        <f t="shared" si="33"/>
        <v>3.6060185698960495E-2</v>
      </c>
      <c r="BP29" s="28"/>
      <c r="BQ29" s="31">
        <f>Q29/GD29*2</f>
        <v>-4.1649583284186965E-4</v>
      </c>
      <c r="BR29" s="33">
        <f t="shared" si="34"/>
        <v>-2.0496535796766746E-2</v>
      </c>
      <c r="BS29" s="32">
        <f>FC29/E29</f>
        <v>1.0771071022473202E-2</v>
      </c>
      <c r="BT29" s="33">
        <f t="shared" si="35"/>
        <v>6.691851855526644E-2</v>
      </c>
      <c r="BU29" s="33">
        <f t="shared" si="36"/>
        <v>0.86566105262485471</v>
      </c>
      <c r="BV29" s="34">
        <f t="shared" si="37"/>
        <v>0.89446322013032331</v>
      </c>
      <c r="BW29" s="28"/>
      <c r="BX29" s="27">
        <v>82.448999999999998</v>
      </c>
      <c r="BY29" s="28">
        <v>171.95400000000001</v>
      </c>
      <c r="BZ29" s="29">
        <f t="shared" si="38"/>
        <v>254.40300000000002</v>
      </c>
      <c r="CA29" s="25">
        <v>2504.672</v>
      </c>
      <c r="CB29" s="28">
        <v>10.092000000000001</v>
      </c>
      <c r="CC29" s="28">
        <v>1.448</v>
      </c>
      <c r="CD29" s="29">
        <f t="shared" si="39"/>
        <v>2493.1320000000001</v>
      </c>
      <c r="CE29" s="28">
        <v>192.191</v>
      </c>
      <c r="CF29" s="28">
        <v>107.58</v>
      </c>
      <c r="CG29" s="29">
        <f t="shared" si="40"/>
        <v>299.77100000000002</v>
      </c>
      <c r="CH29" s="28">
        <v>0</v>
      </c>
      <c r="CI29" s="28">
        <v>0</v>
      </c>
      <c r="CJ29" s="28">
        <v>5.1159999999999997</v>
      </c>
      <c r="CK29" s="28">
        <v>1.5199999999996834</v>
      </c>
      <c r="CL29" s="29">
        <f t="shared" si="41"/>
        <v>3053.9419999999996</v>
      </c>
      <c r="CM29" s="28">
        <v>140.583</v>
      </c>
      <c r="CN29" s="25">
        <v>2154.2159999999999</v>
      </c>
      <c r="CO29" s="29">
        <f t="shared" si="42"/>
        <v>2294.799</v>
      </c>
      <c r="CP29" s="28">
        <v>352.154</v>
      </c>
      <c r="CQ29" s="28">
        <v>15.382000000000005</v>
      </c>
      <c r="CR29" s="29">
        <f t="shared" si="43"/>
        <v>367.536</v>
      </c>
      <c r="CS29" s="28">
        <v>0</v>
      </c>
      <c r="CT29" s="28">
        <v>391.60700000000003</v>
      </c>
      <c r="CU29" s="42">
        <f t="shared" si="44"/>
        <v>3053.942</v>
      </c>
      <c r="CV29" s="28"/>
      <c r="CW29" s="43">
        <v>449.41700000000003</v>
      </c>
      <c r="CX29" s="28"/>
      <c r="CY29" s="24">
        <v>150</v>
      </c>
      <c r="CZ29" s="25">
        <v>165</v>
      </c>
      <c r="DA29" s="25">
        <v>100</v>
      </c>
      <c r="DB29" s="25">
        <v>0</v>
      </c>
      <c r="DC29" s="25">
        <v>0</v>
      </c>
      <c r="DD29" s="25">
        <v>0</v>
      </c>
      <c r="DE29" s="26">
        <f t="shared" si="45"/>
        <v>415</v>
      </c>
      <c r="DF29" s="34">
        <f t="shared" si="46"/>
        <v>0.13588994159024631</v>
      </c>
      <c r="DG29" s="68"/>
      <c r="DH29" s="44" t="s">
        <v>233</v>
      </c>
      <c r="DI29" s="45">
        <v>16</v>
      </c>
      <c r="DJ29" s="46">
        <v>2</v>
      </c>
      <c r="DK29" s="45" t="s">
        <v>168</v>
      </c>
      <c r="DL29" s="47" t="s">
        <v>169</v>
      </c>
      <c r="DM29" s="45"/>
      <c r="DN29" s="39" t="s">
        <v>224</v>
      </c>
      <c r="DO29" s="36"/>
      <c r="DP29" s="34"/>
      <c r="DQ29" s="25"/>
      <c r="DR29" s="24">
        <v>366.803</v>
      </c>
      <c r="DS29" s="25">
        <v>366.803</v>
      </c>
      <c r="DT29" s="26">
        <v>366.803</v>
      </c>
      <c r="DU29" s="25"/>
      <c r="DV29" s="44">
        <f t="shared" si="47"/>
        <v>1332.0900000000001</v>
      </c>
      <c r="DW29" s="25">
        <v>1225.663</v>
      </c>
      <c r="DX29" s="26">
        <v>1438.5170000000001</v>
      </c>
      <c r="DY29" s="25"/>
      <c r="DZ29" s="24">
        <v>364.99299999999999</v>
      </c>
      <c r="EA29" s="25">
        <v>369.161</v>
      </c>
      <c r="EB29" s="25">
        <v>374.77499999999998</v>
      </c>
      <c r="EC29" s="26">
        <v>1621.98</v>
      </c>
      <c r="ED29" s="25"/>
      <c r="EE29" s="24">
        <v>107.324</v>
      </c>
      <c r="EF29" s="25">
        <v>2.8929999999999998</v>
      </c>
      <c r="EG29" s="25">
        <v>28.786999999999999</v>
      </c>
      <c r="EH29" s="25">
        <v>8.891</v>
      </c>
      <c r="EI29" s="25">
        <v>103.11499999999999</v>
      </c>
      <c r="EJ29" s="25">
        <v>57.777000000000001</v>
      </c>
      <c r="EK29" s="25">
        <v>24.555</v>
      </c>
      <c r="EL29" s="25">
        <v>2.4950000000003456</v>
      </c>
      <c r="EM29" s="26">
        <v>2054.0569999999998</v>
      </c>
      <c r="EN29" s="26">
        <f t="shared" si="48"/>
        <v>2389.8940000000002</v>
      </c>
      <c r="EO29" s="45"/>
      <c r="EP29" s="36">
        <f t="shared" si="49"/>
        <v>4.4907431040874614E-2</v>
      </c>
      <c r="EQ29" s="33">
        <f t="shared" si="50"/>
        <v>1.2105139391119437E-3</v>
      </c>
      <c r="ER29" s="33">
        <f t="shared" si="51"/>
        <v>1.2045304101353448E-2</v>
      </c>
      <c r="ES29" s="33">
        <f t="shared" si="52"/>
        <v>3.7202486804854104E-3</v>
      </c>
      <c r="ET29" s="33">
        <f t="shared" si="53"/>
        <v>4.3146265064475657E-2</v>
      </c>
      <c r="EU29" s="33">
        <f t="shared" si="54"/>
        <v>2.4175549208458616E-2</v>
      </c>
      <c r="EV29" s="33">
        <f t="shared" si="55"/>
        <v>1.0274514267159965E-2</v>
      </c>
      <c r="EW29" s="33">
        <f t="shared" si="56"/>
        <v>1.0439793564067466E-3</v>
      </c>
      <c r="EX29" s="33">
        <f t="shared" si="57"/>
        <v>0.85947619434167355</v>
      </c>
      <c r="EY29" s="39">
        <f t="shared" si="58"/>
        <v>1</v>
      </c>
      <c r="EZ29" s="45"/>
      <c r="FA29" s="27">
        <v>3.8340000000000001</v>
      </c>
      <c r="FB29" s="28">
        <v>23.144000000000002</v>
      </c>
      <c r="FC29" s="42">
        <f t="shared" si="59"/>
        <v>26.978000000000002</v>
      </c>
      <c r="FE29" s="27">
        <f>CB29</f>
        <v>10.092000000000001</v>
      </c>
      <c r="FF29" s="28">
        <f>CC29</f>
        <v>1.448</v>
      </c>
      <c r="FG29" s="42">
        <f t="shared" si="60"/>
        <v>11.540000000000001</v>
      </c>
      <c r="FI29" s="53">
        <v>2363.145</v>
      </c>
      <c r="FJ29" s="54">
        <v>117.789</v>
      </c>
      <c r="FK29" s="55">
        <v>23.736999999999998</v>
      </c>
      <c r="FL29" s="56">
        <f t="shared" si="61"/>
        <v>2504.6710000000003</v>
      </c>
      <c r="FM29" s="57">
        <f t="shared" si="62"/>
        <v>0.9434951736176127</v>
      </c>
      <c r="FN29" s="58">
        <f t="shared" si="63"/>
        <v>4.7027733382947294E-2</v>
      </c>
      <c r="FO29" s="59">
        <f t="shared" si="64"/>
        <v>9.4770929994398446E-3</v>
      </c>
      <c r="FP29" s="61">
        <f t="shared" si="65"/>
        <v>0.99999999999999989</v>
      </c>
      <c r="FR29" s="24">
        <f>FV29*E29</f>
        <v>2168.1970000000001</v>
      </c>
      <c r="FS29" s="25">
        <f>E29*FW29</f>
        <v>336.47499999999991</v>
      </c>
      <c r="FT29" s="26">
        <f t="shared" si="66"/>
        <v>2504.672</v>
      </c>
      <c r="FV29" s="36">
        <v>0.86566105262485471</v>
      </c>
      <c r="FW29" s="33">
        <v>0.13433894737514529</v>
      </c>
      <c r="FX29" s="34">
        <f t="shared" si="67"/>
        <v>1</v>
      </c>
      <c r="FY29" s="45"/>
      <c r="FZ29" s="44">
        <f t="shared" si="68"/>
        <v>378.98649999999998</v>
      </c>
      <c r="GA29" s="25">
        <v>366.36599999999999</v>
      </c>
      <c r="GB29" s="26">
        <v>391.60700000000003</v>
      </c>
      <c r="GD29" s="44">
        <f t="shared" si="69"/>
        <v>2386.5785000000001</v>
      </c>
      <c r="GE29" s="25">
        <v>2268.4850000000001</v>
      </c>
      <c r="GF29" s="26">
        <v>2504.672</v>
      </c>
      <c r="GH29" s="44">
        <f t="shared" si="70"/>
        <v>632.05150000000003</v>
      </c>
      <c r="GI29" s="25">
        <v>580.54999999999995</v>
      </c>
      <c r="GJ29" s="26">
        <f>F29</f>
        <v>683.553</v>
      </c>
      <c r="GL29" s="44">
        <f t="shared" si="71"/>
        <v>3018.63</v>
      </c>
      <c r="GM29" s="45">
        <f t="shared" si="72"/>
        <v>2849.0349999999999</v>
      </c>
      <c r="GN29" s="46">
        <f t="shared" si="73"/>
        <v>3188.2249999999999</v>
      </c>
      <c r="GP29" s="44">
        <f t="shared" si="74"/>
        <v>2014.0774999999999</v>
      </c>
      <c r="GQ29" s="25">
        <v>1873.9390000000001</v>
      </c>
      <c r="GR29" s="26">
        <f>G29</f>
        <v>2154.2159999999999</v>
      </c>
      <c r="GS29" s="25"/>
      <c r="GT29" s="44">
        <f t="shared" si="75"/>
        <v>2865.5410000000002</v>
      </c>
      <c r="GU29" s="25">
        <v>2677.14</v>
      </c>
      <c r="GV29" s="26">
        <f>C29</f>
        <v>3053.942</v>
      </c>
      <c r="GW29" s="25"/>
      <c r="GX29" s="61">
        <f>DX29/C29</f>
        <v>0.47103612314837678</v>
      </c>
      <c r="GY29" s="62"/>
    </row>
    <row r="30" spans="1:207" ht="13.5" customHeight="1" x14ac:dyDescent="0.25">
      <c r="A30" s="1"/>
      <c r="B30" s="23" t="s">
        <v>201</v>
      </c>
      <c r="C30" s="24">
        <v>26134.273000000001</v>
      </c>
      <c r="D30" s="25">
        <f t="shared" si="0"/>
        <v>25906.572</v>
      </c>
      <c r="E30" s="25">
        <v>19379.98</v>
      </c>
      <c r="F30" s="25">
        <v>17006.499</v>
      </c>
      <c r="G30" s="25">
        <v>18199.438999999998</v>
      </c>
      <c r="H30" s="25">
        <f t="shared" si="1"/>
        <v>43140.771999999997</v>
      </c>
      <c r="I30" s="26">
        <f t="shared" si="2"/>
        <v>36386.478999999999</v>
      </c>
      <c r="J30" s="25"/>
      <c r="K30" s="27">
        <v>319.262</v>
      </c>
      <c r="L30" s="28">
        <v>46.018999999999991</v>
      </c>
      <c r="M30" s="28">
        <v>1.123</v>
      </c>
      <c r="N30" s="29">
        <f t="shared" si="3"/>
        <v>366.404</v>
      </c>
      <c r="O30" s="28">
        <v>189.21700000000001</v>
      </c>
      <c r="P30" s="29">
        <f t="shared" si="4"/>
        <v>177.18699999999998</v>
      </c>
      <c r="Q30" s="28">
        <v>22.919</v>
      </c>
      <c r="R30" s="29">
        <f t="shared" si="5"/>
        <v>154.26799999999997</v>
      </c>
      <c r="S30" s="28">
        <v>70.366</v>
      </c>
      <c r="T30" s="28">
        <v>16.327000000000002</v>
      </c>
      <c r="U30" s="28">
        <v>-3</v>
      </c>
      <c r="V30" s="29">
        <f t="shared" si="6"/>
        <v>237.96099999999996</v>
      </c>
      <c r="W30" s="28">
        <v>8.625</v>
      </c>
      <c r="X30" s="30">
        <f t="shared" si="7"/>
        <v>229.33599999999996</v>
      </c>
      <c r="Y30" s="28"/>
      <c r="Z30" s="31">
        <f t="shared" si="8"/>
        <v>2.4647182189909186E-2</v>
      </c>
      <c r="AA30" s="32">
        <f t="shared" si="9"/>
        <v>3.5526892558382477E-3</v>
      </c>
      <c r="AB30" s="33">
        <f t="shared" si="10"/>
        <v>0.41760815013120817</v>
      </c>
      <c r="AC30" s="33">
        <f t="shared" si="11"/>
        <v>0.43321885660645193</v>
      </c>
      <c r="AD30" s="33">
        <f t="shared" si="12"/>
        <v>0.51641630549884832</v>
      </c>
      <c r="AE30" s="32">
        <f t="shared" si="13"/>
        <v>1.4607644732000822E-2</v>
      </c>
      <c r="AF30" s="32">
        <f t="shared" si="14"/>
        <v>1.7704851108822885E-2</v>
      </c>
      <c r="AG30" s="32">
        <f>X30/DV30*2</f>
        <v>3.2561163547344646E-2</v>
      </c>
      <c r="AH30" s="32">
        <f>(P30+S30+T30)/DV30*2</f>
        <v>3.7465726431407657E-2</v>
      </c>
      <c r="AI30" s="32">
        <f>R30/DV30*2</f>
        <v>2.1902996381386979E-2</v>
      </c>
      <c r="AJ30" s="34">
        <f>X30/FZ30*2</f>
        <v>0.12741683474427778</v>
      </c>
      <c r="AK30" s="35"/>
      <c r="AL30" s="36">
        <f t="shared" si="15"/>
        <v>5.9233861588052342E-2</v>
      </c>
      <c r="AM30" s="33">
        <f t="shared" si="16"/>
        <v>7.2371699780194157E-2</v>
      </c>
      <c r="AN30" s="34">
        <f t="shared" si="17"/>
        <v>5.7007323718413078E-2</v>
      </c>
      <c r="AO30" s="28"/>
      <c r="AP30" s="36">
        <f t="shared" si="18"/>
        <v>0.93908450885914219</v>
      </c>
      <c r="AQ30" s="33">
        <f t="shared" si="19"/>
        <v>0.81155775017841436</v>
      </c>
      <c r="AR30" s="33">
        <f t="shared" si="20"/>
        <v>1.5675813901538393E-2</v>
      </c>
      <c r="AS30" s="33">
        <f t="shared" si="21"/>
        <v>0.4613173092666476</v>
      </c>
      <c r="AT30" s="33">
        <f t="shared" si="22"/>
        <v>0.14602284899985546</v>
      </c>
      <c r="AU30" s="37">
        <v>1.9559</v>
      </c>
      <c r="AV30" s="38">
        <v>1.3787</v>
      </c>
      <c r="AW30" s="28"/>
      <c r="AX30" s="36">
        <f>GB30/C30</f>
        <v>0.14051934790763071</v>
      </c>
      <c r="AY30" s="33">
        <v>0.1285</v>
      </c>
      <c r="AZ30" s="33">
        <f t="shared" si="23"/>
        <v>0.23507658353143487</v>
      </c>
      <c r="BA30" s="33">
        <f t="shared" si="24"/>
        <v>0.24952249054370929</v>
      </c>
      <c r="BB30" s="34">
        <f t="shared" si="25"/>
        <v>0.2834703720225541</v>
      </c>
      <c r="BC30" s="33"/>
      <c r="BD30" s="36">
        <f t="shared" si="26"/>
        <v>0.18804217794415293</v>
      </c>
      <c r="BE30" s="33">
        <f t="shared" si="27"/>
        <v>0.20035681656050697</v>
      </c>
      <c r="BF30" s="34">
        <f t="shared" si="28"/>
        <v>0.22745932241040062</v>
      </c>
      <c r="BG30" s="25"/>
      <c r="BH30" s="39">
        <v>1.6E-2</v>
      </c>
      <c r="BI30" s="36">
        <f t="shared" si="29"/>
        <v>9.0000000000000011E-3</v>
      </c>
      <c r="BJ30" s="34">
        <f t="shared" si="30"/>
        <v>1.2E-2</v>
      </c>
      <c r="BK30" s="65">
        <v>1.2500000000000001E-2</v>
      </c>
      <c r="BL30" s="33"/>
      <c r="BM30" s="39">
        <f t="shared" si="31"/>
        <v>3.9042177944152906E-2</v>
      </c>
      <c r="BN30" s="34">
        <f t="shared" si="32"/>
        <v>3.3356816560506958E-2</v>
      </c>
      <c r="BO30" s="34">
        <f t="shared" si="33"/>
        <v>3.6459322410400619E-2</v>
      </c>
      <c r="BP30" s="28"/>
      <c r="BQ30" s="31">
        <f>Q30/GD30*2</f>
        <v>2.4332599961503555E-3</v>
      </c>
      <c r="BR30" s="33">
        <f t="shared" si="34"/>
        <v>8.6853872972563292E-2</v>
      </c>
      <c r="BS30" s="32">
        <f>FC30/E30</f>
        <v>2.5593731262880563E-2</v>
      </c>
      <c r="BT30" s="33">
        <f t="shared" si="35"/>
        <v>0.13101236467061883</v>
      </c>
      <c r="BU30" s="33">
        <f t="shared" si="36"/>
        <v>0.56990435490645497</v>
      </c>
      <c r="BV30" s="34">
        <f t="shared" si="37"/>
        <v>0.77092466132818172</v>
      </c>
      <c r="BW30" s="28"/>
      <c r="BX30" s="27">
        <v>233.49299999999999</v>
      </c>
      <c r="BY30" s="28">
        <v>151.77199999999999</v>
      </c>
      <c r="BZ30" s="29">
        <f t="shared" si="38"/>
        <v>385.26499999999999</v>
      </c>
      <c r="CA30" s="25">
        <v>19379.98</v>
      </c>
      <c r="CB30" s="28">
        <v>62.627000000000002</v>
      </c>
      <c r="CC30" s="28">
        <v>50.95</v>
      </c>
      <c r="CD30" s="29">
        <f t="shared" si="39"/>
        <v>19266.402999999998</v>
      </c>
      <c r="CE30" s="28">
        <v>3362.0569999999998</v>
      </c>
      <c r="CF30" s="28">
        <v>1237.865</v>
      </c>
      <c r="CG30" s="29">
        <f t="shared" si="40"/>
        <v>4599.9219999999996</v>
      </c>
      <c r="CH30" s="28">
        <v>910.00099999999998</v>
      </c>
      <c r="CI30" s="28">
        <v>0</v>
      </c>
      <c r="CJ30" s="28">
        <v>68.968000000000004</v>
      </c>
      <c r="CK30" s="28">
        <v>903.71400000000369</v>
      </c>
      <c r="CL30" s="29">
        <f t="shared" si="41"/>
        <v>26134.273000000001</v>
      </c>
      <c r="CM30" s="28">
        <v>464.303</v>
      </c>
      <c r="CN30" s="25">
        <v>18199.438999999998</v>
      </c>
      <c r="CO30" s="29">
        <f t="shared" si="42"/>
        <v>18663.741999999998</v>
      </c>
      <c r="CP30" s="28">
        <v>3088.64</v>
      </c>
      <c r="CQ30" s="28">
        <v>36.586000000002969</v>
      </c>
      <c r="CR30" s="29">
        <f t="shared" si="43"/>
        <v>3125.2260000000028</v>
      </c>
      <c r="CS30" s="28">
        <v>672.93399999999997</v>
      </c>
      <c r="CT30" s="28">
        <v>3672.3710000000001</v>
      </c>
      <c r="CU30" s="42">
        <f t="shared" si="44"/>
        <v>26134.273000000001</v>
      </c>
      <c r="CV30" s="28"/>
      <c r="CW30" s="43">
        <v>3816.201</v>
      </c>
      <c r="CX30" s="28"/>
      <c r="CY30" s="24">
        <v>1400</v>
      </c>
      <c r="CZ30" s="25">
        <v>400</v>
      </c>
      <c r="DA30" s="25">
        <v>1280</v>
      </c>
      <c r="DB30" s="25">
        <v>250</v>
      </c>
      <c r="DC30" s="25">
        <v>400</v>
      </c>
      <c r="DD30" s="25">
        <v>0</v>
      </c>
      <c r="DE30" s="26">
        <f t="shared" si="45"/>
        <v>3730</v>
      </c>
      <c r="DF30" s="34">
        <f t="shared" si="46"/>
        <v>0.1427244599457578</v>
      </c>
      <c r="DG30" s="68"/>
      <c r="DH30" s="44" t="s">
        <v>236</v>
      </c>
      <c r="DI30" s="45">
        <v>149</v>
      </c>
      <c r="DJ30" s="46">
        <v>8</v>
      </c>
      <c r="DK30" s="45" t="s">
        <v>168</v>
      </c>
      <c r="DL30" s="47" t="s">
        <v>169</v>
      </c>
      <c r="DM30" s="48" t="s">
        <v>172</v>
      </c>
      <c r="DN30" s="39">
        <v>0.64774368376972158</v>
      </c>
      <c r="DO30" s="66" t="s">
        <v>173</v>
      </c>
      <c r="DP30" s="67" t="s">
        <v>174</v>
      </c>
      <c r="DQ30" s="25"/>
      <c r="DR30" s="24">
        <v>3254.5770000000002</v>
      </c>
      <c r="DS30" s="25">
        <v>3454.5770000000002</v>
      </c>
      <c r="DT30" s="26">
        <v>3924.5770000000002</v>
      </c>
      <c r="DU30" s="25"/>
      <c r="DV30" s="44">
        <f t="shared" si="47"/>
        <v>14086.4745</v>
      </c>
      <c r="DW30" s="25">
        <v>14328.197</v>
      </c>
      <c r="DX30" s="26">
        <v>13844.752</v>
      </c>
      <c r="DY30" s="25"/>
      <c r="DZ30" s="24">
        <v>3523.203</v>
      </c>
      <c r="EA30" s="25">
        <v>3753.933</v>
      </c>
      <c r="EB30" s="25">
        <v>4261.732</v>
      </c>
      <c r="EC30" s="26">
        <v>18736.238000000001</v>
      </c>
      <c r="ED30" s="25"/>
      <c r="EE30" s="24">
        <v>1207.1579999999999</v>
      </c>
      <c r="EF30" s="25">
        <v>133.90700000000001</v>
      </c>
      <c r="EG30" s="25">
        <v>820.76099999999997</v>
      </c>
      <c r="EH30" s="25">
        <v>446.54499999999996</v>
      </c>
      <c r="EI30" s="25">
        <v>4920.9870000000001</v>
      </c>
      <c r="EJ30" s="25">
        <v>478.66800000000001</v>
      </c>
      <c r="EK30" s="25">
        <v>32.024999999999999</v>
      </c>
      <c r="EL30" s="25">
        <v>96.154000000005908</v>
      </c>
      <c r="EM30" s="26">
        <v>10862.995999999999</v>
      </c>
      <c r="EN30" s="26">
        <f t="shared" si="48"/>
        <v>18999.201000000005</v>
      </c>
      <c r="EO30" s="45"/>
      <c r="EP30" s="36">
        <f t="shared" si="49"/>
        <v>6.3537303489762526E-2</v>
      </c>
      <c r="EQ30" s="33">
        <f t="shared" si="50"/>
        <v>7.0480332304500579E-3</v>
      </c>
      <c r="ER30" s="33">
        <f t="shared" si="51"/>
        <v>4.3199764032182182E-2</v>
      </c>
      <c r="ES30" s="33">
        <f t="shared" si="52"/>
        <v>2.3503356799056963E-2</v>
      </c>
      <c r="ET30" s="33">
        <f t="shared" si="53"/>
        <v>0.25901020785031953</v>
      </c>
      <c r="EU30" s="33">
        <f t="shared" si="54"/>
        <v>2.5194112110293473E-2</v>
      </c>
      <c r="EV30" s="33">
        <f t="shared" si="55"/>
        <v>1.6855971995874981E-3</v>
      </c>
      <c r="EW30" s="33">
        <f t="shared" si="56"/>
        <v>5.0609496683574158E-3</v>
      </c>
      <c r="EX30" s="33">
        <f t="shared" si="57"/>
        <v>0.57176067561999033</v>
      </c>
      <c r="EY30" s="39">
        <f t="shared" si="58"/>
        <v>1</v>
      </c>
      <c r="EZ30" s="45"/>
      <c r="FA30" s="27">
        <v>325.32600000000002</v>
      </c>
      <c r="FB30" s="28">
        <v>170.68</v>
      </c>
      <c r="FC30" s="42">
        <f t="shared" si="59"/>
        <v>496.00600000000003</v>
      </c>
      <c r="FE30" s="27">
        <f>CB30</f>
        <v>62.627000000000002</v>
      </c>
      <c r="FF30" s="28">
        <f>CC30</f>
        <v>50.95</v>
      </c>
      <c r="FG30" s="42">
        <f t="shared" si="60"/>
        <v>113.577</v>
      </c>
      <c r="FI30" s="53">
        <v>15045.141</v>
      </c>
      <c r="FJ30" s="54">
        <v>2287.279</v>
      </c>
      <c r="FK30" s="55">
        <v>494.495</v>
      </c>
      <c r="FL30" s="56">
        <f t="shared" si="61"/>
        <v>17826.914999999997</v>
      </c>
      <c r="FM30" s="57">
        <f t="shared" si="62"/>
        <v>0.8439565118249569</v>
      </c>
      <c r="FN30" s="58">
        <f t="shared" si="63"/>
        <v>0.12830481325568671</v>
      </c>
      <c r="FO30" s="59">
        <f t="shared" si="64"/>
        <v>2.7738674919356495E-2</v>
      </c>
      <c r="FP30" s="61">
        <f t="shared" si="65"/>
        <v>1</v>
      </c>
      <c r="FR30" s="24">
        <f>FV30*E30</f>
        <v>11044.734999999999</v>
      </c>
      <c r="FS30" s="25">
        <f>E30*FW30</f>
        <v>8335.2450000000008</v>
      </c>
      <c r="FT30" s="26">
        <f t="shared" si="66"/>
        <v>19379.98</v>
      </c>
      <c r="FV30" s="36">
        <v>0.56990435490645497</v>
      </c>
      <c r="FW30" s="33">
        <v>0.43009564509354503</v>
      </c>
      <c r="FX30" s="34">
        <f t="shared" si="67"/>
        <v>1</v>
      </c>
      <c r="FY30" s="45"/>
      <c r="FZ30" s="44">
        <f t="shared" si="68"/>
        <v>3599.7754999999997</v>
      </c>
      <c r="GA30" s="25">
        <v>3527.18</v>
      </c>
      <c r="GB30" s="26">
        <v>3672.3710000000001</v>
      </c>
      <c r="GD30" s="44">
        <f t="shared" si="69"/>
        <v>18838.101999999999</v>
      </c>
      <c r="GE30" s="25">
        <v>18296.223999999998</v>
      </c>
      <c r="GF30" s="26">
        <v>19379.98</v>
      </c>
      <c r="GH30" s="44">
        <f t="shared" si="70"/>
        <v>16320.5605</v>
      </c>
      <c r="GI30" s="25">
        <v>15634.621999999999</v>
      </c>
      <c r="GJ30" s="26">
        <f>F30</f>
        <v>17006.499</v>
      </c>
      <c r="GL30" s="44">
        <f t="shared" si="71"/>
        <v>35158.662499999999</v>
      </c>
      <c r="GM30" s="45">
        <f t="shared" si="72"/>
        <v>33930.845999999998</v>
      </c>
      <c r="GN30" s="46">
        <f t="shared" si="73"/>
        <v>36386.478999999999</v>
      </c>
      <c r="GP30" s="44">
        <f t="shared" si="74"/>
        <v>17708.665999999997</v>
      </c>
      <c r="GQ30" s="25">
        <v>17217.893</v>
      </c>
      <c r="GR30" s="26">
        <f>G30</f>
        <v>18199.438999999998</v>
      </c>
      <c r="GS30" s="25"/>
      <c r="GT30" s="44">
        <f t="shared" si="75"/>
        <v>25906.572</v>
      </c>
      <c r="GU30" s="25">
        <v>25678.870999999999</v>
      </c>
      <c r="GV30" s="26">
        <f>C30</f>
        <v>26134.273000000001</v>
      </c>
      <c r="GW30" s="25"/>
      <c r="GX30" s="61">
        <f>DX30/C30</f>
        <v>0.5297546252769304</v>
      </c>
      <c r="GY30" s="62"/>
    </row>
    <row r="31" spans="1:207" ht="13.5" customHeight="1" x14ac:dyDescent="0.25">
      <c r="A31" s="1"/>
      <c r="B31" s="23" t="s">
        <v>202</v>
      </c>
      <c r="C31" s="24">
        <v>18913.876</v>
      </c>
      <c r="D31" s="25">
        <f t="shared" si="0"/>
        <v>17937.504500000003</v>
      </c>
      <c r="E31" s="25">
        <v>15426.087</v>
      </c>
      <c r="F31" s="25">
        <v>4793.0889999999999</v>
      </c>
      <c r="G31" s="25">
        <v>11114.955</v>
      </c>
      <c r="H31" s="25">
        <f t="shared" si="1"/>
        <v>23706.965</v>
      </c>
      <c r="I31" s="26">
        <f t="shared" si="2"/>
        <v>20219.175999999999</v>
      </c>
      <c r="J31" s="25"/>
      <c r="K31" s="27">
        <v>188.476</v>
      </c>
      <c r="L31" s="28">
        <v>31.863000000000003</v>
      </c>
      <c r="M31" s="28">
        <v>0.34699999999999998</v>
      </c>
      <c r="N31" s="29">
        <f t="shared" si="3"/>
        <v>220.68600000000001</v>
      </c>
      <c r="O31" s="28">
        <v>95.926000000000002</v>
      </c>
      <c r="P31" s="29">
        <f t="shared" si="4"/>
        <v>124.76</v>
      </c>
      <c r="Q31" s="28">
        <v>3.09</v>
      </c>
      <c r="R31" s="29">
        <f t="shared" si="5"/>
        <v>121.67</v>
      </c>
      <c r="S31" s="28">
        <v>27.689</v>
      </c>
      <c r="T31" s="28">
        <v>4.9020000000000001</v>
      </c>
      <c r="U31" s="28">
        <v>0</v>
      </c>
      <c r="V31" s="29">
        <f t="shared" si="6"/>
        <v>154.261</v>
      </c>
      <c r="W31" s="28">
        <v>30.834000000000003</v>
      </c>
      <c r="X31" s="30">
        <f t="shared" si="7"/>
        <v>123.42699999999999</v>
      </c>
      <c r="Y31" s="28"/>
      <c r="Z31" s="31">
        <f t="shared" si="8"/>
        <v>2.1014740372608684E-2</v>
      </c>
      <c r="AA31" s="32">
        <f t="shared" si="9"/>
        <v>3.5526680982853548E-3</v>
      </c>
      <c r="AB31" s="33">
        <f t="shared" si="10"/>
        <v>0.37873948285868836</v>
      </c>
      <c r="AC31" s="33">
        <f t="shared" si="11"/>
        <v>0.38621439355812787</v>
      </c>
      <c r="AD31" s="33">
        <f t="shared" si="12"/>
        <v>0.43467188675312435</v>
      </c>
      <c r="AE31" s="32">
        <f t="shared" si="13"/>
        <v>1.0695579198321594E-2</v>
      </c>
      <c r="AF31" s="32">
        <f t="shared" si="14"/>
        <v>1.3761892017922557E-2</v>
      </c>
      <c r="AG31" s="32">
        <f>X31/DV31*2</f>
        <v>3.0093182514297382E-2</v>
      </c>
      <c r="AH31" s="32">
        <f>(P31+S31+T31)/DV31*2</f>
        <v>3.8364315439954041E-2</v>
      </c>
      <c r="AI31" s="32">
        <f>R31/DV31*2</f>
        <v>2.9664802000490677E-2</v>
      </c>
      <c r="AJ31" s="34">
        <f>X31/FZ31*2</f>
        <v>0.11368093454023059</v>
      </c>
      <c r="AK31" s="35"/>
      <c r="AL31" s="36">
        <f t="shared" si="15"/>
        <v>0.11179766636240024</v>
      </c>
      <c r="AM31" s="33">
        <f t="shared" si="16"/>
        <v>0.1125208262261887</v>
      </c>
      <c r="AN31" s="34">
        <f t="shared" si="17"/>
        <v>5.7179318121810409E-2</v>
      </c>
      <c r="AO31" s="28"/>
      <c r="AP31" s="36">
        <f t="shared" si="18"/>
        <v>0.72052977530854068</v>
      </c>
      <c r="AQ31" s="33">
        <f t="shared" si="19"/>
        <v>0.67271841315524183</v>
      </c>
      <c r="AR31" s="33">
        <f t="shared" si="20"/>
        <v>0.13591032319340568</v>
      </c>
      <c r="AS31" s="33">
        <f t="shared" si="21"/>
        <v>0.39963826029101596</v>
      </c>
      <c r="AT31" s="33">
        <f t="shared" si="22"/>
        <v>0.14999051490027746</v>
      </c>
      <c r="AU31" s="37">
        <v>2.75</v>
      </c>
      <c r="AV31" s="38">
        <v>1.44</v>
      </c>
      <c r="AW31" s="28"/>
      <c r="AX31" s="36">
        <f>GB31/C31</f>
        <v>0.11906205793037875</v>
      </c>
      <c r="AY31" s="33">
        <v>0.109</v>
      </c>
      <c r="AZ31" s="33">
        <f t="shared" si="23"/>
        <v>0.25439779685562502</v>
      </c>
      <c r="BA31" s="33">
        <f t="shared" si="24"/>
        <v>0.26352886604904113</v>
      </c>
      <c r="BB31" s="34">
        <f t="shared" si="25"/>
        <v>0.28422595622078439</v>
      </c>
      <c r="BC31" s="33"/>
      <c r="BD31" s="36">
        <f t="shared" si="26"/>
        <v>0.21288417249200212</v>
      </c>
      <c r="BE31" s="33">
        <f t="shared" si="27"/>
        <v>0.22359997757145114</v>
      </c>
      <c r="BF31" s="34">
        <f t="shared" si="28"/>
        <v>0.24750490110090226</v>
      </c>
      <c r="BG31" s="25"/>
      <c r="BH31" s="39">
        <v>2.8000000000000001E-2</v>
      </c>
      <c r="BI31" s="36">
        <f t="shared" si="29"/>
        <v>1.575E-2</v>
      </c>
      <c r="BJ31" s="34">
        <f t="shared" si="30"/>
        <v>2.1000000000000001E-2</v>
      </c>
      <c r="BK31" s="39">
        <v>1.4999999999999999E-2</v>
      </c>
      <c r="BL31" s="33"/>
      <c r="BM31" s="39">
        <f t="shared" si="31"/>
        <v>5.7134172492002117E-2</v>
      </c>
      <c r="BN31" s="34">
        <f t="shared" si="32"/>
        <v>4.7599977571451152E-2</v>
      </c>
      <c r="BO31" s="34">
        <f t="shared" si="33"/>
        <v>4.4504901100902244E-2</v>
      </c>
      <c r="BP31" s="28"/>
      <c r="BQ31" s="31">
        <f>Q31/GD31*2</f>
        <v>4.2182872170334711E-4</v>
      </c>
      <c r="BR31" s="33">
        <f t="shared" si="34"/>
        <v>1.9637625436126876E-2</v>
      </c>
      <c r="BS31" s="32">
        <f>FC31/E31</f>
        <v>2.2961364084099874E-2</v>
      </c>
      <c r="BT31" s="33">
        <f t="shared" si="35"/>
        <v>0.15251353854540237</v>
      </c>
      <c r="BU31" s="33">
        <f t="shared" si="36"/>
        <v>0.7061761028574518</v>
      </c>
      <c r="BV31" s="34">
        <f t="shared" si="37"/>
        <v>0.77582899520732196</v>
      </c>
      <c r="BW31" s="28"/>
      <c r="BX31" s="27">
        <v>79.225999999999999</v>
      </c>
      <c r="BY31" s="28">
        <v>544.64800000000002</v>
      </c>
      <c r="BZ31" s="29">
        <f t="shared" si="38"/>
        <v>623.87400000000002</v>
      </c>
      <c r="CA31" s="25">
        <v>15426.087</v>
      </c>
      <c r="CB31" s="28">
        <v>47.704000000000001</v>
      </c>
      <c r="CC31" s="28">
        <v>22.814</v>
      </c>
      <c r="CD31" s="29">
        <f t="shared" si="39"/>
        <v>15355.569</v>
      </c>
      <c r="CE31" s="28">
        <v>2187.5729999999999</v>
      </c>
      <c r="CF31" s="28">
        <v>657.505</v>
      </c>
      <c r="CG31" s="29">
        <f t="shared" si="40"/>
        <v>2845.078</v>
      </c>
      <c r="CH31" s="28">
        <v>13.051</v>
      </c>
      <c r="CI31" s="28">
        <v>0</v>
      </c>
      <c r="CJ31" s="28">
        <v>67.366</v>
      </c>
      <c r="CK31" s="28">
        <v>8.9380000000009261</v>
      </c>
      <c r="CL31" s="29">
        <f t="shared" si="41"/>
        <v>18913.876000000004</v>
      </c>
      <c r="CM31" s="28">
        <v>65.188000000000002</v>
      </c>
      <c r="CN31" s="25">
        <v>11114.955</v>
      </c>
      <c r="CO31" s="29">
        <f t="shared" si="42"/>
        <v>11180.143</v>
      </c>
      <c r="CP31" s="28">
        <v>5096.9759999999997</v>
      </c>
      <c r="CQ31" s="28">
        <v>139.50300000000016</v>
      </c>
      <c r="CR31" s="29">
        <f t="shared" si="43"/>
        <v>5236.4789999999994</v>
      </c>
      <c r="CS31" s="28">
        <v>245.32900000000001</v>
      </c>
      <c r="CT31" s="28">
        <v>2251.9250000000002</v>
      </c>
      <c r="CU31" s="42">
        <f t="shared" si="44"/>
        <v>18913.876</v>
      </c>
      <c r="CV31" s="28"/>
      <c r="CW31" s="43">
        <v>2836.902</v>
      </c>
      <c r="CX31" s="28"/>
      <c r="CY31" s="24">
        <v>680</v>
      </c>
      <c r="CZ31" s="25">
        <v>1300</v>
      </c>
      <c r="DA31" s="25">
        <v>1300</v>
      </c>
      <c r="DB31" s="25">
        <v>850</v>
      </c>
      <c r="DC31" s="25">
        <v>1055</v>
      </c>
      <c r="DD31" s="25">
        <v>150</v>
      </c>
      <c r="DE31" s="26">
        <f t="shared" si="45"/>
        <v>5335</v>
      </c>
      <c r="DF31" s="34">
        <f t="shared" si="46"/>
        <v>0.28206804358873877</v>
      </c>
      <c r="DG31" s="68"/>
      <c r="DH31" s="44" t="s">
        <v>235</v>
      </c>
      <c r="DI31" s="45">
        <v>74.7</v>
      </c>
      <c r="DJ31" s="46">
        <v>5</v>
      </c>
      <c r="DK31" s="45" t="s">
        <v>168</v>
      </c>
      <c r="DL31" s="47" t="s">
        <v>169</v>
      </c>
      <c r="DM31" s="48" t="s">
        <v>172</v>
      </c>
      <c r="DN31" s="39">
        <v>0.17163318194647578</v>
      </c>
      <c r="DO31" s="66" t="s">
        <v>178</v>
      </c>
      <c r="DP31" s="67" t="s">
        <v>174</v>
      </c>
      <c r="DQ31" s="25"/>
      <c r="DR31" s="24">
        <v>2089.5509999999999</v>
      </c>
      <c r="DS31" s="25">
        <v>2164.5509999999999</v>
      </c>
      <c r="DT31" s="26">
        <v>2334.5509999999999</v>
      </c>
      <c r="DU31" s="25"/>
      <c r="DV31" s="44">
        <f t="shared" si="47"/>
        <v>8202.9874999999993</v>
      </c>
      <c r="DW31" s="25">
        <v>8192.26</v>
      </c>
      <c r="DX31" s="26">
        <v>8213.7150000000001</v>
      </c>
      <c r="DY31" s="25"/>
      <c r="DZ31" s="24">
        <v>2069.1819999999998</v>
      </c>
      <c r="EA31" s="25">
        <v>2173.337</v>
      </c>
      <c r="EB31" s="25">
        <v>2405.6869999999999</v>
      </c>
      <c r="EC31" s="26">
        <v>9719.7549999999992</v>
      </c>
      <c r="ED31" s="25"/>
      <c r="EE31" s="24">
        <v>188.898</v>
      </c>
      <c r="EF31" s="25">
        <v>24.603000000000002</v>
      </c>
      <c r="EG31" s="25">
        <v>887.73500000000001</v>
      </c>
      <c r="EH31" s="25">
        <v>83.340999999999994</v>
      </c>
      <c r="EI31" s="25">
        <v>2696.3739999999998</v>
      </c>
      <c r="EJ31" s="25">
        <v>370.58499999999998</v>
      </c>
      <c r="EK31" s="25">
        <v>34.889000000000003</v>
      </c>
      <c r="EL31" s="25">
        <v>0</v>
      </c>
      <c r="EM31" s="26">
        <v>10341.502</v>
      </c>
      <c r="EN31" s="26">
        <f t="shared" si="48"/>
        <v>14627.927</v>
      </c>
      <c r="EO31" s="45"/>
      <c r="EP31" s="36">
        <f t="shared" si="49"/>
        <v>1.2913518094532466E-2</v>
      </c>
      <c r="EQ31" s="33">
        <f t="shared" si="50"/>
        <v>1.6819197962910262E-3</v>
      </c>
      <c r="ER31" s="33">
        <f t="shared" si="51"/>
        <v>6.0687683224013904E-2</v>
      </c>
      <c r="ES31" s="33">
        <f t="shared" si="52"/>
        <v>5.6973896574682107E-3</v>
      </c>
      <c r="ET31" s="33">
        <f t="shared" si="53"/>
        <v>0.18433056167152051</v>
      </c>
      <c r="EU31" s="33">
        <f t="shared" si="54"/>
        <v>2.5334075019652475E-2</v>
      </c>
      <c r="EV31" s="33">
        <f t="shared" si="55"/>
        <v>2.3850953043449015E-3</v>
      </c>
      <c r="EW31" s="33">
        <f t="shared" si="56"/>
        <v>0</v>
      </c>
      <c r="EX31" s="33">
        <f t="shared" si="57"/>
        <v>0.70696975723217659</v>
      </c>
      <c r="EY31" s="39">
        <f t="shared" si="58"/>
        <v>1</v>
      </c>
      <c r="EZ31" s="45"/>
      <c r="FA31" s="27">
        <v>239.38</v>
      </c>
      <c r="FB31" s="28">
        <v>114.82399999999998</v>
      </c>
      <c r="FC31" s="42">
        <f t="shared" si="59"/>
        <v>354.20399999999995</v>
      </c>
      <c r="FE31" s="27">
        <f>CB31</f>
        <v>47.704000000000001</v>
      </c>
      <c r="FF31" s="28">
        <f>CC31</f>
        <v>22.814</v>
      </c>
      <c r="FG31" s="42">
        <f t="shared" si="60"/>
        <v>70.518000000000001</v>
      </c>
      <c r="FI31" s="53">
        <v>13153.075000000001</v>
      </c>
      <c r="FJ31" s="54">
        <v>1921.6880000000001</v>
      </c>
      <c r="FK31" s="55">
        <v>366.58300000000003</v>
      </c>
      <c r="FL31" s="56">
        <f t="shared" si="61"/>
        <v>15441.346000000001</v>
      </c>
      <c r="FM31" s="57">
        <f t="shared" si="62"/>
        <v>0.85180883842639099</v>
      </c>
      <c r="FN31" s="58">
        <f t="shared" si="63"/>
        <v>0.12445080888673823</v>
      </c>
      <c r="FO31" s="59">
        <f t="shared" si="64"/>
        <v>2.3740352686870692E-2</v>
      </c>
      <c r="FP31" s="61">
        <f t="shared" si="65"/>
        <v>0.99999999999999989</v>
      </c>
      <c r="FR31" s="24">
        <f>FV31*E31</f>
        <v>10893.534</v>
      </c>
      <c r="FS31" s="25">
        <f>E31*FW31</f>
        <v>4532.5529999999999</v>
      </c>
      <c r="FT31" s="26">
        <f t="shared" si="66"/>
        <v>15426.087</v>
      </c>
      <c r="FV31" s="36">
        <v>0.7061761028574518</v>
      </c>
      <c r="FW31" s="33">
        <v>0.2938238971425482</v>
      </c>
      <c r="FX31" s="34">
        <f t="shared" si="67"/>
        <v>1</v>
      </c>
      <c r="FY31" s="45"/>
      <c r="FZ31" s="44">
        <f t="shared" si="68"/>
        <v>2171.4634999999998</v>
      </c>
      <c r="GA31" s="25">
        <v>2091.002</v>
      </c>
      <c r="GB31" s="26">
        <v>2251.9250000000002</v>
      </c>
      <c r="GD31" s="44">
        <f t="shared" si="69"/>
        <v>14650.495999999999</v>
      </c>
      <c r="GE31" s="25">
        <v>13874.905000000001</v>
      </c>
      <c r="GF31" s="26">
        <v>15426.087</v>
      </c>
      <c r="GH31" s="44">
        <f t="shared" si="70"/>
        <v>4546.192</v>
      </c>
      <c r="GI31" s="25">
        <v>4299.2950000000001</v>
      </c>
      <c r="GJ31" s="26">
        <f>F31</f>
        <v>4793.0889999999999</v>
      </c>
      <c r="GL31" s="44">
        <f t="shared" si="71"/>
        <v>19196.688000000002</v>
      </c>
      <c r="GM31" s="45">
        <f t="shared" si="72"/>
        <v>18174.2</v>
      </c>
      <c r="GN31" s="46">
        <f t="shared" si="73"/>
        <v>20219.175999999999</v>
      </c>
      <c r="GP31" s="44">
        <f t="shared" si="74"/>
        <v>10814.369500000001</v>
      </c>
      <c r="GQ31" s="25">
        <v>10513.784</v>
      </c>
      <c r="GR31" s="26">
        <f>G31</f>
        <v>11114.955</v>
      </c>
      <c r="GS31" s="25"/>
      <c r="GT31" s="44">
        <f t="shared" si="75"/>
        <v>17937.504500000003</v>
      </c>
      <c r="GU31" s="25">
        <v>16961.133000000002</v>
      </c>
      <c r="GV31" s="26">
        <f>C31</f>
        <v>18913.876</v>
      </c>
      <c r="GW31" s="25"/>
      <c r="GX31" s="61">
        <f>DX31/C31</f>
        <v>0.43426926347619071</v>
      </c>
      <c r="GY31" s="62"/>
    </row>
    <row r="32" spans="1:207" ht="13.5" customHeight="1" x14ac:dyDescent="0.25">
      <c r="A32" s="1"/>
      <c r="B32" s="23" t="s">
        <v>203</v>
      </c>
      <c r="C32" s="24">
        <v>8711.5259999999998</v>
      </c>
      <c r="D32" s="25">
        <f t="shared" si="0"/>
        <v>8541.6</v>
      </c>
      <c r="E32" s="25">
        <v>7428.77</v>
      </c>
      <c r="F32" s="25">
        <v>1820.4090000000001</v>
      </c>
      <c r="G32" s="25">
        <v>5806.2539999999999</v>
      </c>
      <c r="H32" s="25">
        <f t="shared" si="1"/>
        <v>10531.934999999999</v>
      </c>
      <c r="I32" s="26">
        <f t="shared" si="2"/>
        <v>9249.1790000000001</v>
      </c>
      <c r="J32" s="25"/>
      <c r="K32" s="27">
        <v>101.68299999999999</v>
      </c>
      <c r="L32" s="28">
        <v>21.152999999999999</v>
      </c>
      <c r="M32" s="28">
        <v>0.21199999999999999</v>
      </c>
      <c r="N32" s="29">
        <f t="shared" si="3"/>
        <v>123.04799999999999</v>
      </c>
      <c r="O32" s="28">
        <v>54.548999999999999</v>
      </c>
      <c r="P32" s="29">
        <f t="shared" si="4"/>
        <v>68.498999999999995</v>
      </c>
      <c r="Q32" s="28">
        <v>23.65</v>
      </c>
      <c r="R32" s="29">
        <f t="shared" si="5"/>
        <v>44.848999999999997</v>
      </c>
      <c r="S32" s="28">
        <v>14.523</v>
      </c>
      <c r="T32" s="28">
        <v>1.4630000000000001</v>
      </c>
      <c r="U32" s="28">
        <v>0</v>
      </c>
      <c r="V32" s="29">
        <f t="shared" si="6"/>
        <v>60.835000000000001</v>
      </c>
      <c r="W32" s="28">
        <v>18.72</v>
      </c>
      <c r="X32" s="30">
        <f t="shared" si="7"/>
        <v>42.115000000000002</v>
      </c>
      <c r="Y32" s="28"/>
      <c r="Z32" s="31">
        <f t="shared" si="8"/>
        <v>2.3808888264493767E-2</v>
      </c>
      <c r="AA32" s="32">
        <f t="shared" si="9"/>
        <v>4.9529362180387743E-3</v>
      </c>
      <c r="AB32" s="33">
        <f t="shared" si="10"/>
        <v>0.39234288015881008</v>
      </c>
      <c r="AC32" s="33">
        <f t="shared" si="11"/>
        <v>0.39651525394160109</v>
      </c>
      <c r="AD32" s="33">
        <f t="shared" si="12"/>
        <v>0.44331480397893508</v>
      </c>
      <c r="AE32" s="32">
        <f t="shared" si="13"/>
        <v>1.2772548468670975E-2</v>
      </c>
      <c r="AF32" s="32">
        <f t="shared" si="14"/>
        <v>9.8611501358059385E-3</v>
      </c>
      <c r="AG32" s="32">
        <f>X32/DV32*2</f>
        <v>2.070753744037333E-2</v>
      </c>
      <c r="AH32" s="32">
        <f>(P32+S32+T32)/DV32*2</f>
        <v>4.15404559100069E-2</v>
      </c>
      <c r="AI32" s="32">
        <f>R32/DV32*2</f>
        <v>2.2051818750167481E-2</v>
      </c>
      <c r="AJ32" s="34">
        <f>X32/FZ32*2</f>
        <v>7.5449219799709769E-2</v>
      </c>
      <c r="AK32" s="35"/>
      <c r="AL32" s="36">
        <f t="shared" si="15"/>
        <v>5.3006014893076013E-2</v>
      </c>
      <c r="AM32" s="33">
        <f t="shared" si="16"/>
        <v>3.5538120646085317E-2</v>
      </c>
      <c r="AN32" s="34">
        <f t="shared" si="17"/>
        <v>1.886252116907508E-2</v>
      </c>
      <c r="AO32" s="28"/>
      <c r="AP32" s="36">
        <f t="shared" si="18"/>
        <v>0.78159022287673463</v>
      </c>
      <c r="AQ32" s="33">
        <f t="shared" si="19"/>
        <v>0.77424741203188652</v>
      </c>
      <c r="AR32" s="33">
        <f t="shared" si="20"/>
        <v>7.8617798994114224E-2</v>
      </c>
      <c r="AS32" s="33">
        <f t="shared" si="21"/>
        <v>0.27449582311985299</v>
      </c>
      <c r="AT32" s="33">
        <f t="shared" si="22"/>
        <v>0.11571887634841473</v>
      </c>
      <c r="AU32" s="37">
        <v>1.82</v>
      </c>
      <c r="AV32" s="38">
        <v>1.37</v>
      </c>
      <c r="AW32" s="28"/>
      <c r="AX32" s="36">
        <f>GB32/C32</f>
        <v>0.13167096097744529</v>
      </c>
      <c r="AY32" s="33">
        <v>0.1293</v>
      </c>
      <c r="AZ32" s="33">
        <f t="shared" si="23"/>
        <v>0.26911261188974378</v>
      </c>
      <c r="BA32" s="33">
        <f t="shared" si="24"/>
        <v>0.29052586188943758</v>
      </c>
      <c r="BB32" s="34">
        <f t="shared" si="25"/>
        <v>0.319926205138445</v>
      </c>
      <c r="BC32" s="33"/>
      <c r="BD32" s="36">
        <f t="shared" si="26"/>
        <v>0.23610564892209321</v>
      </c>
      <c r="BE32" s="33">
        <f t="shared" si="27"/>
        <v>0.2581756281481376</v>
      </c>
      <c r="BF32" s="34">
        <f t="shared" si="28"/>
        <v>0.2876386217185562</v>
      </c>
      <c r="BG32" s="25"/>
      <c r="BH32" s="39">
        <v>2.8000000000000001E-2</v>
      </c>
      <c r="BI32" s="36">
        <f t="shared" si="29"/>
        <v>1.575E-2</v>
      </c>
      <c r="BJ32" s="34">
        <f t="shared" si="30"/>
        <v>2.1000000000000001E-2</v>
      </c>
      <c r="BK32" s="65">
        <v>1.2500000000000001E-2</v>
      </c>
      <c r="BL32" s="33"/>
      <c r="BM32" s="39">
        <f t="shared" si="31"/>
        <v>8.0355648922093209E-2</v>
      </c>
      <c r="BN32" s="34">
        <f t="shared" si="32"/>
        <v>8.2175628148137614E-2</v>
      </c>
      <c r="BO32" s="34">
        <f t="shared" si="33"/>
        <v>8.4638621718556184E-2</v>
      </c>
      <c r="BP32" s="28"/>
      <c r="BQ32" s="31">
        <f>Q32/GD32*2</f>
        <v>6.5315289190692469E-3</v>
      </c>
      <c r="BR32" s="33">
        <f t="shared" si="34"/>
        <v>0.27993134876013498</v>
      </c>
      <c r="BS32" s="32">
        <f>FC32/E32</f>
        <v>2.6725151000771323E-2</v>
      </c>
      <c r="BT32" s="33">
        <f t="shared" si="35"/>
        <v>0.15747072829864828</v>
      </c>
      <c r="BU32" s="33">
        <f t="shared" si="36"/>
        <v>0.70094685930510692</v>
      </c>
      <c r="BV32" s="34">
        <f t="shared" si="37"/>
        <v>0.75980603251380474</v>
      </c>
      <c r="BW32" s="28"/>
      <c r="BX32" s="27">
        <v>7.726</v>
      </c>
      <c r="BY32" s="28">
        <v>40.475999999999999</v>
      </c>
      <c r="BZ32" s="29">
        <f t="shared" si="38"/>
        <v>48.201999999999998</v>
      </c>
      <c r="CA32" s="25">
        <v>7428.77</v>
      </c>
      <c r="CB32" s="28">
        <v>103.636</v>
      </c>
      <c r="CC32" s="28">
        <v>10.083</v>
      </c>
      <c r="CD32" s="29">
        <f t="shared" si="39"/>
        <v>7315.0510000000004</v>
      </c>
      <c r="CE32" s="28">
        <v>958.37099999999998</v>
      </c>
      <c r="CF32" s="28">
        <v>342.31799999999998</v>
      </c>
      <c r="CG32" s="29">
        <f t="shared" si="40"/>
        <v>1300.6889999999999</v>
      </c>
      <c r="CH32" s="28">
        <v>8.5879999999999992</v>
      </c>
      <c r="CI32" s="28">
        <v>0</v>
      </c>
      <c r="CJ32" s="28">
        <v>29.843</v>
      </c>
      <c r="CK32" s="28">
        <v>9.1530000000002865</v>
      </c>
      <c r="CL32" s="29">
        <f t="shared" si="41"/>
        <v>8711.5260000000017</v>
      </c>
      <c r="CM32" s="28">
        <v>120.5</v>
      </c>
      <c r="CN32" s="25">
        <v>5806.2539999999999</v>
      </c>
      <c r="CO32" s="29">
        <f t="shared" si="42"/>
        <v>5926.7539999999999</v>
      </c>
      <c r="CP32" s="28">
        <v>1360.5730000000001</v>
      </c>
      <c r="CQ32" s="28">
        <v>65.24799999999982</v>
      </c>
      <c r="CR32" s="29">
        <f t="shared" si="43"/>
        <v>1425.8209999999999</v>
      </c>
      <c r="CS32" s="28">
        <v>211.89600000000002</v>
      </c>
      <c r="CT32" s="28">
        <v>1147.0550000000001</v>
      </c>
      <c r="CU32" s="42">
        <f t="shared" si="44"/>
        <v>8711.5259999999998</v>
      </c>
      <c r="CV32" s="28"/>
      <c r="CW32" s="43">
        <v>1008.088</v>
      </c>
      <c r="CX32" s="28"/>
      <c r="CY32" s="24">
        <v>450</v>
      </c>
      <c r="CZ32" s="25">
        <v>400</v>
      </c>
      <c r="DA32" s="25">
        <v>400</v>
      </c>
      <c r="DB32" s="25">
        <v>200</v>
      </c>
      <c r="DC32" s="25">
        <v>210</v>
      </c>
      <c r="DD32" s="25">
        <v>0</v>
      </c>
      <c r="DE32" s="26">
        <f t="shared" si="45"/>
        <v>1660</v>
      </c>
      <c r="DF32" s="34">
        <f t="shared" si="46"/>
        <v>0.19055214895759939</v>
      </c>
      <c r="DG32" s="68"/>
      <c r="DH32" s="44" t="s">
        <v>232</v>
      </c>
      <c r="DI32" s="45">
        <v>52.7</v>
      </c>
      <c r="DJ32" s="46">
        <v>2</v>
      </c>
      <c r="DK32" s="45" t="s">
        <v>168</v>
      </c>
      <c r="DL32" s="47" t="s">
        <v>169</v>
      </c>
      <c r="DM32" s="48" t="s">
        <v>170</v>
      </c>
      <c r="DN32" s="39">
        <v>8.0806169513449003E-2</v>
      </c>
      <c r="DO32" s="66" t="s">
        <v>178</v>
      </c>
      <c r="DP32" s="67" t="s">
        <v>179</v>
      </c>
      <c r="DQ32" s="25"/>
      <c r="DR32" s="24">
        <v>1098.4059999999999</v>
      </c>
      <c r="DS32" s="25">
        <v>1185.806</v>
      </c>
      <c r="DT32" s="26">
        <v>1305.806</v>
      </c>
      <c r="DU32" s="25"/>
      <c r="DV32" s="44">
        <f t="shared" si="47"/>
        <v>4067.6010000000001</v>
      </c>
      <c r="DW32" s="25">
        <v>4053.6170000000002</v>
      </c>
      <c r="DX32" s="26">
        <v>4081.585</v>
      </c>
      <c r="DY32" s="25"/>
      <c r="DZ32" s="24">
        <v>1093.2439999999999</v>
      </c>
      <c r="EA32" s="25">
        <v>1195.4349999999999</v>
      </c>
      <c r="EB32" s="25">
        <v>1331.8579999999999</v>
      </c>
      <c r="EC32" s="26">
        <v>4630.317</v>
      </c>
      <c r="ED32" s="25"/>
      <c r="EE32" s="24">
        <v>214.01543362000001</v>
      </c>
      <c r="EF32" s="25">
        <v>111.16218732</v>
      </c>
      <c r="EG32" s="25">
        <v>235.82314935000002</v>
      </c>
      <c r="EH32" s="25">
        <v>154.41728745999998</v>
      </c>
      <c r="EI32" s="25">
        <v>1209.8287466199999</v>
      </c>
      <c r="EJ32" s="25">
        <v>125.73660812999999</v>
      </c>
      <c r="EK32" s="25">
        <v>52.925033169999999</v>
      </c>
      <c r="EL32" s="25">
        <v>0</v>
      </c>
      <c r="EM32" s="26">
        <v>5081.4579999999996</v>
      </c>
      <c r="EN32" s="26">
        <f t="shared" si="48"/>
        <v>7185.3664456699998</v>
      </c>
      <c r="EO32" s="45"/>
      <c r="EP32" s="36">
        <f t="shared" si="49"/>
        <v>2.9784901749717808E-2</v>
      </c>
      <c r="EQ32" s="33">
        <f t="shared" si="50"/>
        <v>1.547063579297168E-2</v>
      </c>
      <c r="ER32" s="33">
        <f t="shared" si="51"/>
        <v>3.2819919642666277E-2</v>
      </c>
      <c r="ES32" s="33">
        <f t="shared" si="52"/>
        <v>2.1490523639619515E-2</v>
      </c>
      <c r="ET32" s="33">
        <f t="shared" si="53"/>
        <v>0.16837398005623769</v>
      </c>
      <c r="EU32" s="33">
        <f t="shared" si="54"/>
        <v>1.7498983396423796E-2</v>
      </c>
      <c r="EV32" s="33">
        <f t="shared" si="55"/>
        <v>7.3656693183537418E-3</v>
      </c>
      <c r="EW32" s="33">
        <f t="shared" si="56"/>
        <v>0</v>
      </c>
      <c r="EX32" s="33">
        <f t="shared" si="57"/>
        <v>0.70719538640400947</v>
      </c>
      <c r="EY32" s="39">
        <f t="shared" si="58"/>
        <v>0.99999999999999989</v>
      </c>
      <c r="EZ32" s="45"/>
      <c r="FA32" s="27">
        <v>169.27500000000001</v>
      </c>
      <c r="FB32" s="28">
        <v>29.259999999999998</v>
      </c>
      <c r="FC32" s="42">
        <f t="shared" si="59"/>
        <v>198.535</v>
      </c>
      <c r="FE32" s="27">
        <f>CB32</f>
        <v>103.636</v>
      </c>
      <c r="FF32" s="28">
        <f>CC32</f>
        <v>10.083</v>
      </c>
      <c r="FG32" s="42">
        <f t="shared" si="60"/>
        <v>113.71899999999999</v>
      </c>
      <c r="FI32" s="53">
        <v>6470.4539999999997</v>
      </c>
      <c r="FJ32" s="54">
        <v>762.61699999999996</v>
      </c>
      <c r="FK32" s="55">
        <v>195.7</v>
      </c>
      <c r="FL32" s="56">
        <f t="shared" si="61"/>
        <v>7428.7709999999997</v>
      </c>
      <c r="FM32" s="57">
        <f t="shared" si="62"/>
        <v>0.87099925411619228</v>
      </c>
      <c r="FN32" s="58">
        <f t="shared" si="63"/>
        <v>0.10265722284345553</v>
      </c>
      <c r="FO32" s="59">
        <f t="shared" si="64"/>
        <v>2.6343523040352167E-2</v>
      </c>
      <c r="FP32" s="61">
        <f t="shared" si="65"/>
        <v>1</v>
      </c>
      <c r="FR32" s="24">
        <f>FV32*E32</f>
        <v>5207.1729999999998</v>
      </c>
      <c r="FS32" s="25">
        <f>E32*FW32</f>
        <v>2221.5970000000011</v>
      </c>
      <c r="FT32" s="26">
        <f t="shared" si="66"/>
        <v>7428.77</v>
      </c>
      <c r="FV32" s="36">
        <v>0.70094685930510692</v>
      </c>
      <c r="FW32" s="33">
        <v>0.29905314069489308</v>
      </c>
      <c r="FX32" s="34">
        <f t="shared" si="67"/>
        <v>1</v>
      </c>
      <c r="FY32" s="45"/>
      <c r="FZ32" s="44">
        <f t="shared" si="68"/>
        <v>1116.3800000000001</v>
      </c>
      <c r="GA32" s="25">
        <v>1085.7049999999999</v>
      </c>
      <c r="GB32" s="26">
        <v>1147.0550000000001</v>
      </c>
      <c r="GD32" s="44">
        <f t="shared" si="69"/>
        <v>7241.7960000000003</v>
      </c>
      <c r="GE32" s="25">
        <v>7054.8220000000001</v>
      </c>
      <c r="GF32" s="26">
        <v>7428.77</v>
      </c>
      <c r="GH32" s="44">
        <f t="shared" si="70"/>
        <v>1848.674</v>
      </c>
      <c r="GI32" s="25">
        <v>1876.9390000000001</v>
      </c>
      <c r="GJ32" s="26">
        <f>F32</f>
        <v>1820.4090000000001</v>
      </c>
      <c r="GL32" s="44">
        <f t="shared" si="71"/>
        <v>9090.4700000000012</v>
      </c>
      <c r="GM32" s="45">
        <f t="shared" si="72"/>
        <v>8931.7610000000004</v>
      </c>
      <c r="GN32" s="46">
        <f t="shared" si="73"/>
        <v>9249.1790000000001</v>
      </c>
      <c r="GP32" s="44">
        <f t="shared" si="74"/>
        <v>5752.5074999999997</v>
      </c>
      <c r="GQ32" s="25">
        <v>5698.7610000000004</v>
      </c>
      <c r="GR32" s="26">
        <f>G32</f>
        <v>5806.2539999999999</v>
      </c>
      <c r="GS32" s="25"/>
      <c r="GT32" s="44">
        <f t="shared" si="75"/>
        <v>8541.6</v>
      </c>
      <c r="GU32" s="25">
        <v>8371.6740000000009</v>
      </c>
      <c r="GV32" s="26">
        <f>C32</f>
        <v>8711.5259999999998</v>
      </c>
      <c r="GW32" s="25"/>
      <c r="GX32" s="61">
        <f>DX32/C32</f>
        <v>0.46852698367656825</v>
      </c>
      <c r="GY32" s="62"/>
    </row>
    <row r="33" spans="1:207" x14ac:dyDescent="0.25">
      <c r="A33" s="1"/>
      <c r="B33" s="23" t="s">
        <v>204</v>
      </c>
      <c r="C33" s="24">
        <v>28357.478999999999</v>
      </c>
      <c r="D33" s="25">
        <f t="shared" si="0"/>
        <v>27366.6865</v>
      </c>
      <c r="E33" s="25">
        <v>22316.983</v>
      </c>
      <c r="F33" s="25">
        <v>10724.874</v>
      </c>
      <c r="G33" s="25">
        <v>17900.013999999999</v>
      </c>
      <c r="H33" s="25">
        <f t="shared" si="1"/>
        <v>39082.353000000003</v>
      </c>
      <c r="I33" s="26">
        <f t="shared" si="2"/>
        <v>33041.857000000004</v>
      </c>
      <c r="J33" s="25"/>
      <c r="K33" s="27">
        <v>274.63599999999997</v>
      </c>
      <c r="L33" s="28">
        <v>65.596000000000004</v>
      </c>
      <c r="M33" s="28">
        <v>1.1879999999999999</v>
      </c>
      <c r="N33" s="29">
        <f t="shared" si="3"/>
        <v>341.41999999999996</v>
      </c>
      <c r="O33" s="28">
        <v>162.32</v>
      </c>
      <c r="P33" s="29">
        <f t="shared" si="4"/>
        <v>179.09999999999997</v>
      </c>
      <c r="Q33" s="28">
        <v>-0.4870000000000001</v>
      </c>
      <c r="R33" s="29">
        <f t="shared" si="5"/>
        <v>179.58699999999996</v>
      </c>
      <c r="S33" s="28">
        <v>53.802999999999997</v>
      </c>
      <c r="T33" s="28">
        <v>11.892999999999997</v>
      </c>
      <c r="U33" s="28">
        <v>0</v>
      </c>
      <c r="V33" s="29">
        <f t="shared" si="6"/>
        <v>245.28299999999996</v>
      </c>
      <c r="W33" s="28">
        <v>44.896000000000001</v>
      </c>
      <c r="X33" s="30">
        <f t="shared" si="7"/>
        <v>200.38699999999994</v>
      </c>
      <c r="Y33" s="28"/>
      <c r="Z33" s="31">
        <f t="shared" si="8"/>
        <v>2.0070825892641402E-2</v>
      </c>
      <c r="AA33" s="32">
        <f t="shared" si="9"/>
        <v>4.7938576707121632E-3</v>
      </c>
      <c r="AB33" s="33">
        <f t="shared" si="10"/>
        <v>0.39870700242682683</v>
      </c>
      <c r="AC33" s="33">
        <f t="shared" si="11"/>
        <v>0.41070484258254203</v>
      </c>
      <c r="AD33" s="33">
        <f t="shared" si="12"/>
        <v>0.47542616132622578</v>
      </c>
      <c r="AE33" s="32">
        <f t="shared" si="13"/>
        <v>1.1862597980212181E-2</v>
      </c>
      <c r="AF33" s="32">
        <f t="shared" si="14"/>
        <v>1.4644593527974236E-2</v>
      </c>
      <c r="AG33" s="32">
        <f>X33/DV33*2</f>
        <v>3.3869854921470578E-2</v>
      </c>
      <c r="AH33" s="32">
        <f>(P33+S33+T33)/DV33*2</f>
        <v>4.1375962539268084E-2</v>
      </c>
      <c r="AI33" s="32">
        <f>R33/DV33*2</f>
        <v>3.035419281581209E-2</v>
      </c>
      <c r="AJ33" s="34">
        <f>X33/FZ33*2</f>
        <v>0.11687610271066326</v>
      </c>
      <c r="AK33" s="35"/>
      <c r="AL33" s="36">
        <f t="shared" si="15"/>
        <v>6.9064994956942974E-2</v>
      </c>
      <c r="AM33" s="33">
        <f t="shared" si="16"/>
        <v>0.11483080255546436</v>
      </c>
      <c r="AN33" s="34">
        <f t="shared" si="17"/>
        <v>5.793089092546011E-2</v>
      </c>
      <c r="AO33" s="28"/>
      <c r="AP33" s="36">
        <f t="shared" si="18"/>
        <v>0.80208037080997907</v>
      </c>
      <c r="AQ33" s="33">
        <f t="shared" si="19"/>
        <v>0.72604277710901666</v>
      </c>
      <c r="AR33" s="33">
        <f t="shared" si="20"/>
        <v>7.5013261933474351E-2</v>
      </c>
      <c r="AS33" s="33">
        <f t="shared" si="21"/>
        <v>0.41295656077185139</v>
      </c>
      <c r="AT33" s="33">
        <f t="shared" si="22"/>
        <v>0.16316729001192246</v>
      </c>
      <c r="AU33" s="37">
        <v>2.4500000000000002</v>
      </c>
      <c r="AV33" s="38">
        <v>1.62</v>
      </c>
      <c r="AW33" s="28"/>
      <c r="AX33" s="36">
        <f>GB33/C33</f>
        <v>0.12394698414481767</v>
      </c>
      <c r="AY33" s="33">
        <v>9.0800000000000006E-2</v>
      </c>
      <c r="AZ33" s="33">
        <f t="shared" si="23"/>
        <v>0.27599785116030318</v>
      </c>
      <c r="BA33" s="33">
        <f t="shared" si="24"/>
        <v>0.29013044642384528</v>
      </c>
      <c r="BB33" s="34">
        <f t="shared" si="25"/>
        <v>0.310686948625361</v>
      </c>
      <c r="BC33" s="33"/>
      <c r="BD33" s="36">
        <f t="shared" si="26"/>
        <v>0.2240750029054511</v>
      </c>
      <c r="BE33" s="33">
        <f t="shared" si="27"/>
        <v>0.23954878431678936</v>
      </c>
      <c r="BF33" s="34">
        <f t="shared" si="28"/>
        <v>0.261677702506459</v>
      </c>
      <c r="BG33" s="25"/>
      <c r="BH33" s="39">
        <v>1.6E-2</v>
      </c>
      <c r="BI33" s="36">
        <f t="shared" si="29"/>
        <v>9.0000000000000011E-3</v>
      </c>
      <c r="BJ33" s="34">
        <f t="shared" si="30"/>
        <v>1.2E-2</v>
      </c>
      <c r="BK33" s="39">
        <v>0.01</v>
      </c>
      <c r="BL33" s="33"/>
      <c r="BM33" s="39">
        <f t="shared" si="31"/>
        <v>7.5075002905451077E-2</v>
      </c>
      <c r="BN33" s="34">
        <f t="shared" si="32"/>
        <v>7.254878431678935E-2</v>
      </c>
      <c r="BO33" s="34">
        <f t="shared" si="33"/>
        <v>7.0677702506458995E-2</v>
      </c>
      <c r="BP33" s="28"/>
      <c r="BQ33" s="31">
        <f>Q33/GD33*2</f>
        <v>-4.5100716985638488E-5</v>
      </c>
      <c r="BR33" s="33">
        <f t="shared" si="34"/>
        <v>-1.9894115916926753E-3</v>
      </c>
      <c r="BS33" s="32">
        <f>FC33/E33</f>
        <v>1.5170599000769952E-2</v>
      </c>
      <c r="BT33" s="33">
        <f t="shared" si="35"/>
        <v>9.3775395737255393E-2</v>
      </c>
      <c r="BU33" s="33">
        <f t="shared" si="36"/>
        <v>0.77981400980589544</v>
      </c>
      <c r="BV33" s="34">
        <f t="shared" si="37"/>
        <v>0.85128296511906087</v>
      </c>
      <c r="BW33" s="28"/>
      <c r="BX33" s="27">
        <v>90.113</v>
      </c>
      <c r="BY33" s="28">
        <v>706.45399999999995</v>
      </c>
      <c r="BZ33" s="29">
        <f t="shared" si="38"/>
        <v>796.56700000000001</v>
      </c>
      <c r="CA33" s="25">
        <v>22316.983</v>
      </c>
      <c r="CB33" s="28">
        <v>56.607999999999997</v>
      </c>
      <c r="CC33" s="28">
        <v>38.917999999999999</v>
      </c>
      <c r="CD33" s="29">
        <f t="shared" si="39"/>
        <v>22221.456999999999</v>
      </c>
      <c r="CE33" s="28">
        <v>3796.39</v>
      </c>
      <c r="CF33" s="28">
        <v>1330.7819999999999</v>
      </c>
      <c r="CG33" s="29">
        <f t="shared" si="40"/>
        <v>5127.1719999999996</v>
      </c>
      <c r="CH33" s="28">
        <v>17.584</v>
      </c>
      <c r="CI33" s="28">
        <v>0</v>
      </c>
      <c r="CJ33" s="28">
        <v>141.28100000000001</v>
      </c>
      <c r="CK33" s="28">
        <v>53.418000000002166</v>
      </c>
      <c r="CL33" s="29">
        <f t="shared" si="41"/>
        <v>28357.478999999996</v>
      </c>
      <c r="CM33" s="28">
        <v>0.39600000000000002</v>
      </c>
      <c r="CN33" s="25">
        <v>17900.013999999999</v>
      </c>
      <c r="CO33" s="29">
        <f t="shared" si="42"/>
        <v>17900.41</v>
      </c>
      <c r="CP33" s="28">
        <v>6347.5739999999996</v>
      </c>
      <c r="CQ33" s="28">
        <v>188.4409999999998</v>
      </c>
      <c r="CR33" s="29">
        <f t="shared" si="43"/>
        <v>6536.0149999999994</v>
      </c>
      <c r="CS33" s="28">
        <v>406.23</v>
      </c>
      <c r="CT33" s="28">
        <v>3514.8240000000001</v>
      </c>
      <c r="CU33" s="42">
        <f t="shared" si="44"/>
        <v>28357.478999999999</v>
      </c>
      <c r="CV33" s="28"/>
      <c r="CW33" s="43">
        <v>4627.0130000000008</v>
      </c>
      <c r="CX33" s="28"/>
      <c r="CY33" s="24">
        <v>1280</v>
      </c>
      <c r="CZ33" s="25">
        <v>2205</v>
      </c>
      <c r="DA33" s="25">
        <v>1965</v>
      </c>
      <c r="DB33" s="25">
        <v>600</v>
      </c>
      <c r="DC33" s="25">
        <v>700</v>
      </c>
      <c r="DD33" s="25">
        <v>0</v>
      </c>
      <c r="DE33" s="26">
        <f t="shared" si="45"/>
        <v>6750</v>
      </c>
      <c r="DF33" s="34">
        <f t="shared" si="46"/>
        <v>0.23803244286983338</v>
      </c>
      <c r="DG33" s="68"/>
      <c r="DH33" s="44" t="s">
        <v>233</v>
      </c>
      <c r="DI33" s="45">
        <v>146.9</v>
      </c>
      <c r="DJ33" s="46">
        <v>11</v>
      </c>
      <c r="DK33" s="45" t="s">
        <v>168</v>
      </c>
      <c r="DL33" s="47" t="s">
        <v>169</v>
      </c>
      <c r="DM33" s="48" t="s">
        <v>170</v>
      </c>
      <c r="DN33" s="39">
        <v>0.56729866378819382</v>
      </c>
      <c r="DO33" s="66" t="s">
        <v>173</v>
      </c>
      <c r="DP33" s="67" t="s">
        <v>174</v>
      </c>
      <c r="DQ33" s="25"/>
      <c r="DR33" s="24">
        <v>3222.3130000000001</v>
      </c>
      <c r="DS33" s="25">
        <v>3387.3130000000001</v>
      </c>
      <c r="DT33" s="26">
        <v>3627.3130000000001</v>
      </c>
      <c r="DU33" s="25"/>
      <c r="DV33" s="44">
        <f t="shared" si="47"/>
        <v>11832.763999999999</v>
      </c>
      <c r="DW33" s="25">
        <v>11990.39</v>
      </c>
      <c r="DX33" s="26">
        <v>11675.138000000001</v>
      </c>
      <c r="DY33" s="25"/>
      <c r="DZ33" s="24">
        <v>3217.9270000000001</v>
      </c>
      <c r="EA33" s="25">
        <v>3440.145</v>
      </c>
      <c r="EB33" s="25">
        <v>3757.9369999999999</v>
      </c>
      <c r="EC33" s="26">
        <v>14360.937</v>
      </c>
      <c r="ED33" s="25"/>
      <c r="EE33" s="24">
        <v>270.798</v>
      </c>
      <c r="EF33" s="25">
        <v>84.192999999999998</v>
      </c>
      <c r="EG33" s="25">
        <v>541.08799999999997</v>
      </c>
      <c r="EH33" s="25">
        <v>389.62800000000004</v>
      </c>
      <c r="EI33" s="25">
        <v>2954.127</v>
      </c>
      <c r="EJ33" s="25">
        <v>302.32100000000003</v>
      </c>
      <c r="EK33" s="25">
        <v>67.451000000000008</v>
      </c>
      <c r="EL33" s="25">
        <v>2.5800000000017462</v>
      </c>
      <c r="EM33" s="26">
        <v>16938.066999999999</v>
      </c>
      <c r="EN33" s="26">
        <f t="shared" si="48"/>
        <v>21550.253000000001</v>
      </c>
      <c r="EO33" s="45"/>
      <c r="EP33" s="36">
        <f t="shared" si="49"/>
        <v>1.2565884957359897E-2</v>
      </c>
      <c r="EQ33" s="33">
        <f t="shared" si="50"/>
        <v>3.9068218827871763E-3</v>
      </c>
      <c r="ER33" s="33">
        <f t="shared" si="51"/>
        <v>2.5108197105620986E-2</v>
      </c>
      <c r="ES33" s="33">
        <f t="shared" si="52"/>
        <v>1.8079973353445085E-2</v>
      </c>
      <c r="ET33" s="33">
        <f t="shared" si="53"/>
        <v>0.13708085004848899</v>
      </c>
      <c r="EU33" s="33">
        <f t="shared" si="54"/>
        <v>1.402865200700892E-2</v>
      </c>
      <c r="EV33" s="33">
        <f t="shared" si="55"/>
        <v>3.1299400522119161E-3</v>
      </c>
      <c r="EW33" s="33">
        <f t="shared" si="56"/>
        <v>1.1972017219481118E-4</v>
      </c>
      <c r="EX33" s="33">
        <f t="shared" si="57"/>
        <v>0.78597996042088225</v>
      </c>
      <c r="EY33" s="39">
        <f t="shared" si="58"/>
        <v>1</v>
      </c>
      <c r="EZ33" s="45"/>
      <c r="FA33" s="27">
        <v>237.78199999999998</v>
      </c>
      <c r="FB33" s="28">
        <v>100.78</v>
      </c>
      <c r="FC33" s="42">
        <f t="shared" si="59"/>
        <v>338.56200000000001</v>
      </c>
      <c r="FE33" s="27">
        <f>CB33</f>
        <v>56.607999999999997</v>
      </c>
      <c r="FF33" s="28">
        <f>CC33</f>
        <v>38.917999999999999</v>
      </c>
      <c r="FG33" s="42">
        <f t="shared" si="60"/>
        <v>95.525999999999996</v>
      </c>
      <c r="FI33" s="53">
        <v>19561.495999999999</v>
      </c>
      <c r="FJ33" s="54">
        <v>2339.4589999999998</v>
      </c>
      <c r="FK33" s="55">
        <v>331.863</v>
      </c>
      <c r="FL33" s="56">
        <f t="shared" si="61"/>
        <v>22232.817999999999</v>
      </c>
      <c r="FM33" s="57">
        <f t="shared" si="62"/>
        <v>0.87984779977059135</v>
      </c>
      <c r="FN33" s="58">
        <f t="shared" si="63"/>
        <v>0.10522548243771887</v>
      </c>
      <c r="FO33" s="59">
        <f t="shared" si="64"/>
        <v>1.4926717791689744E-2</v>
      </c>
      <c r="FP33" s="61">
        <f t="shared" si="65"/>
        <v>1</v>
      </c>
      <c r="FR33" s="24">
        <f>FV33*E33</f>
        <v>17403.096000000001</v>
      </c>
      <c r="FS33" s="25">
        <f>E33*FW33</f>
        <v>4913.8869999999979</v>
      </c>
      <c r="FT33" s="26">
        <f t="shared" si="66"/>
        <v>22316.983</v>
      </c>
      <c r="FV33" s="36">
        <v>0.77981400980589544</v>
      </c>
      <c r="FW33" s="33">
        <v>0.22018599019410456</v>
      </c>
      <c r="FX33" s="34">
        <f t="shared" si="67"/>
        <v>1</v>
      </c>
      <c r="FY33" s="45"/>
      <c r="FZ33" s="44">
        <f t="shared" si="68"/>
        <v>3429.05</v>
      </c>
      <c r="GA33" s="25">
        <v>3343.2759999999998</v>
      </c>
      <c r="GB33" s="26">
        <v>3514.8240000000001</v>
      </c>
      <c r="GD33" s="44">
        <f t="shared" si="69"/>
        <v>21596.109</v>
      </c>
      <c r="GE33" s="25">
        <v>20875.235000000001</v>
      </c>
      <c r="GF33" s="26">
        <v>22316.983</v>
      </c>
      <c r="GH33" s="44">
        <f t="shared" si="70"/>
        <v>9744.0445</v>
      </c>
      <c r="GI33" s="25">
        <v>8763.2150000000001</v>
      </c>
      <c r="GJ33" s="26">
        <f>F33</f>
        <v>10724.874</v>
      </c>
      <c r="GL33" s="44">
        <f t="shared" si="71"/>
        <v>31340.1535</v>
      </c>
      <c r="GM33" s="45">
        <f t="shared" si="72"/>
        <v>29638.45</v>
      </c>
      <c r="GN33" s="46">
        <f t="shared" si="73"/>
        <v>33041.857000000004</v>
      </c>
      <c r="GP33" s="44">
        <f t="shared" si="74"/>
        <v>17409.923499999997</v>
      </c>
      <c r="GQ33" s="25">
        <v>16919.832999999999</v>
      </c>
      <c r="GR33" s="26">
        <f>G33</f>
        <v>17900.013999999999</v>
      </c>
      <c r="GS33" s="25"/>
      <c r="GT33" s="44">
        <f t="shared" si="75"/>
        <v>27366.6865</v>
      </c>
      <c r="GU33" s="25">
        <v>26375.894</v>
      </c>
      <c r="GV33" s="26">
        <f>C33</f>
        <v>28357.478999999999</v>
      </c>
      <c r="GW33" s="25"/>
      <c r="GX33" s="61">
        <f>DX33/C33</f>
        <v>0.41171283244184015</v>
      </c>
      <c r="GY33" s="62"/>
    </row>
    <row r="34" spans="1:207" x14ac:dyDescent="0.25">
      <c r="A34" s="1"/>
      <c r="B34" s="23" t="s">
        <v>205</v>
      </c>
      <c r="C34" s="24">
        <v>13303.92</v>
      </c>
      <c r="D34" s="25">
        <f t="shared" si="0"/>
        <v>12688.302</v>
      </c>
      <c r="E34" s="25">
        <v>10627.912</v>
      </c>
      <c r="F34" s="25">
        <v>2933.4119999999998</v>
      </c>
      <c r="G34" s="25">
        <v>9626.2639999999992</v>
      </c>
      <c r="H34" s="25">
        <f t="shared" si="1"/>
        <v>16237.332</v>
      </c>
      <c r="I34" s="26">
        <f t="shared" si="2"/>
        <v>13561.324000000001</v>
      </c>
      <c r="J34" s="25"/>
      <c r="K34" s="27">
        <v>126.40700000000001</v>
      </c>
      <c r="L34" s="28">
        <v>22.124000000000002</v>
      </c>
      <c r="M34" s="28">
        <v>0.10400000000000001</v>
      </c>
      <c r="N34" s="29">
        <f t="shared" si="3"/>
        <v>148.63500000000002</v>
      </c>
      <c r="O34" s="28">
        <v>67.727999999999994</v>
      </c>
      <c r="P34" s="29">
        <f t="shared" si="4"/>
        <v>80.907000000000025</v>
      </c>
      <c r="Q34" s="28">
        <v>3.319</v>
      </c>
      <c r="R34" s="29">
        <f t="shared" si="5"/>
        <v>77.588000000000022</v>
      </c>
      <c r="S34" s="28">
        <v>9.1449999999999996</v>
      </c>
      <c r="T34" s="28">
        <v>35.577999999999996</v>
      </c>
      <c r="U34" s="28">
        <v>-10</v>
      </c>
      <c r="V34" s="29">
        <f t="shared" si="6"/>
        <v>112.31100000000001</v>
      </c>
      <c r="W34" s="28">
        <v>23.864000000000001</v>
      </c>
      <c r="X34" s="30">
        <f t="shared" si="7"/>
        <v>88.447000000000003</v>
      </c>
      <c r="Y34" s="28"/>
      <c r="Z34" s="31">
        <f t="shared" si="8"/>
        <v>1.9924967107497915E-2</v>
      </c>
      <c r="AA34" s="32">
        <f t="shared" si="9"/>
        <v>3.4873066545862484E-3</v>
      </c>
      <c r="AB34" s="33">
        <f t="shared" si="10"/>
        <v>0.35027255143309294</v>
      </c>
      <c r="AC34" s="33">
        <f t="shared" si="11"/>
        <v>0.42925592597287349</v>
      </c>
      <c r="AD34" s="33">
        <f t="shared" si="12"/>
        <v>0.45566656574830949</v>
      </c>
      <c r="AE34" s="32">
        <f t="shared" si="13"/>
        <v>1.0675660147433439E-2</v>
      </c>
      <c r="AF34" s="32">
        <f t="shared" si="14"/>
        <v>1.3941502968639934E-2</v>
      </c>
      <c r="AG34" s="32">
        <f>X34/DV34*2</f>
        <v>3.0161803358491758E-2</v>
      </c>
      <c r="AH34" s="32">
        <f>(P34+S34+T34)/DV34*2</f>
        <v>4.2841784977753004E-2</v>
      </c>
      <c r="AI34" s="32">
        <f>R34/DV34*2</f>
        <v>2.6458715377329464E-2</v>
      </c>
      <c r="AJ34" s="34">
        <f>X34/FZ34*2</f>
        <v>0.11850761097234137</v>
      </c>
      <c r="AK34" s="35"/>
      <c r="AL34" s="36">
        <f t="shared" si="15"/>
        <v>8.3988597014620858E-2</v>
      </c>
      <c r="AM34" s="33">
        <f t="shared" si="16"/>
        <v>7.3421342123764097E-2</v>
      </c>
      <c r="AN34" s="34">
        <f t="shared" si="17"/>
        <v>0.12831004162536422</v>
      </c>
      <c r="AO34" s="28"/>
      <c r="AP34" s="36">
        <f t="shared" si="18"/>
        <v>0.90575307736834842</v>
      </c>
      <c r="AQ34" s="33">
        <f t="shared" si="19"/>
        <v>0.82400206123264796</v>
      </c>
      <c r="AR34" s="33">
        <f t="shared" si="20"/>
        <v>1.4081864593292822E-2</v>
      </c>
      <c r="AS34" s="33">
        <f t="shared" si="21"/>
        <v>0.2531157733961118</v>
      </c>
      <c r="AT34" s="33">
        <f t="shared" si="22"/>
        <v>0.14046401361403255</v>
      </c>
      <c r="AU34" s="37">
        <v>3.64</v>
      </c>
      <c r="AV34" s="38">
        <v>1.47</v>
      </c>
      <c r="AW34" s="28"/>
      <c r="AX34" s="36">
        <f>GB34/C34</f>
        <v>0.11716381337229929</v>
      </c>
      <c r="AY34" s="33">
        <v>0.1079</v>
      </c>
      <c r="AZ34" s="33">
        <f t="shared" si="23"/>
        <v>0.22875770804972512</v>
      </c>
      <c r="BA34" s="33">
        <f t="shared" si="24"/>
        <v>0.24200884012532697</v>
      </c>
      <c r="BB34" s="34">
        <f t="shared" si="25"/>
        <v>0.25408369980177031</v>
      </c>
      <c r="BC34" s="33"/>
      <c r="BD34" s="36">
        <f t="shared" si="26"/>
        <v>0.21802643000416583</v>
      </c>
      <c r="BE34" s="33">
        <f t="shared" si="27"/>
        <v>0.23349424646104289</v>
      </c>
      <c r="BF34" s="34">
        <f t="shared" si="28"/>
        <v>0.24982244806950124</v>
      </c>
      <c r="BG34" s="25"/>
      <c r="BH34" s="39">
        <v>1.7000000000000001E-2</v>
      </c>
      <c r="BI34" s="36">
        <f t="shared" si="29"/>
        <v>9.5625000000000016E-3</v>
      </c>
      <c r="BJ34" s="34">
        <f t="shared" si="30"/>
        <v>1.2750000000000001E-2</v>
      </c>
      <c r="BK34" s="39">
        <v>1.0999999999999999E-2</v>
      </c>
      <c r="BL34" s="33"/>
      <c r="BM34" s="39">
        <f t="shared" si="31"/>
        <v>6.8463930004165813E-2</v>
      </c>
      <c r="BN34" s="34">
        <f t="shared" si="32"/>
        <v>6.5744246461042877E-2</v>
      </c>
      <c r="BO34" s="34">
        <f t="shared" si="33"/>
        <v>5.7822448069501237E-2</v>
      </c>
      <c r="BP34" s="28"/>
      <c r="BQ34" s="31">
        <f>Q34/GD34*2</f>
        <v>6.4975356251029614E-4</v>
      </c>
      <c r="BR34" s="33">
        <f t="shared" si="34"/>
        <v>2.6418849001034778E-2</v>
      </c>
      <c r="BS34" s="32">
        <f>FC34/E34</f>
        <v>1.7233300388637015E-2</v>
      </c>
      <c r="BT34" s="33">
        <f t="shared" si="35"/>
        <v>0.11447690229705092</v>
      </c>
      <c r="BU34" s="33">
        <f t="shared" si="36"/>
        <v>0.78845600151751349</v>
      </c>
      <c r="BV34" s="34">
        <f t="shared" si="37"/>
        <v>0.83421449115145385</v>
      </c>
      <c r="BW34" s="28"/>
      <c r="BX34" s="27">
        <v>84.697999999999993</v>
      </c>
      <c r="BY34" s="28">
        <v>747.23599999999999</v>
      </c>
      <c r="BZ34" s="29">
        <f t="shared" si="38"/>
        <v>831.93399999999997</v>
      </c>
      <c r="CA34" s="25">
        <v>10627.912</v>
      </c>
      <c r="CB34" s="28">
        <v>28.297999999999998</v>
      </c>
      <c r="CC34" s="28">
        <v>12.885000000000002</v>
      </c>
      <c r="CD34" s="29">
        <f t="shared" si="39"/>
        <v>10586.728999999999</v>
      </c>
      <c r="CE34" s="28">
        <v>1028.777</v>
      </c>
      <c r="CF34" s="28">
        <v>604.80799999999999</v>
      </c>
      <c r="CG34" s="29">
        <f t="shared" si="40"/>
        <v>1633.585</v>
      </c>
      <c r="CH34" s="28">
        <v>176.137</v>
      </c>
      <c r="CI34" s="28">
        <v>6.2430000000000003</v>
      </c>
      <c r="CJ34" s="28">
        <v>38.262</v>
      </c>
      <c r="CK34" s="28">
        <v>31.030000000001394</v>
      </c>
      <c r="CL34" s="29">
        <f t="shared" si="41"/>
        <v>13303.920000000002</v>
      </c>
      <c r="CM34" s="28">
        <v>145.97</v>
      </c>
      <c r="CN34" s="25">
        <v>9626.2639999999992</v>
      </c>
      <c r="CO34" s="29">
        <f t="shared" si="42"/>
        <v>9772.2339999999986</v>
      </c>
      <c r="CP34" s="28">
        <v>1754.7560000000001</v>
      </c>
      <c r="CQ34" s="28">
        <v>62.852000000001453</v>
      </c>
      <c r="CR34" s="29">
        <f t="shared" si="43"/>
        <v>1817.6080000000015</v>
      </c>
      <c r="CS34" s="28">
        <v>155.34</v>
      </c>
      <c r="CT34" s="28">
        <v>1558.7380000000001</v>
      </c>
      <c r="CU34" s="42">
        <f t="shared" si="44"/>
        <v>13303.92</v>
      </c>
      <c r="CV34" s="28"/>
      <c r="CW34" s="43">
        <v>1868.722</v>
      </c>
      <c r="CX34" s="28"/>
      <c r="CY34" s="24">
        <v>601</v>
      </c>
      <c r="CZ34" s="25">
        <v>0</v>
      </c>
      <c r="DA34" s="25">
        <v>300</v>
      </c>
      <c r="DB34" s="25">
        <v>550</v>
      </c>
      <c r="DC34" s="25">
        <v>450</v>
      </c>
      <c r="DD34" s="25">
        <v>0</v>
      </c>
      <c r="DE34" s="26">
        <f t="shared" si="45"/>
        <v>1901</v>
      </c>
      <c r="DF34" s="34">
        <f t="shared" si="46"/>
        <v>0.14289021581609029</v>
      </c>
      <c r="DG34" s="68"/>
      <c r="DH34" s="44" t="s">
        <v>236</v>
      </c>
      <c r="DI34" s="45">
        <v>54.4</v>
      </c>
      <c r="DJ34" s="46">
        <v>6</v>
      </c>
      <c r="DK34" s="45" t="s">
        <v>168</v>
      </c>
      <c r="DL34" s="47" t="s">
        <v>169</v>
      </c>
      <c r="DM34" s="48" t="s">
        <v>170</v>
      </c>
      <c r="DN34" s="39">
        <v>0.13552688876270236</v>
      </c>
      <c r="DO34" s="66" t="s">
        <v>178</v>
      </c>
      <c r="DP34" s="67" t="s">
        <v>174</v>
      </c>
      <c r="DQ34" s="25"/>
      <c r="DR34" s="24">
        <v>1326.1807210000002</v>
      </c>
      <c r="DS34" s="25">
        <v>1403.0017210000001</v>
      </c>
      <c r="DT34" s="26">
        <v>1473.0034982</v>
      </c>
      <c r="DU34" s="25"/>
      <c r="DV34" s="44">
        <f t="shared" si="47"/>
        <v>5864.835</v>
      </c>
      <c r="DW34" s="25">
        <v>5932.3540000000003</v>
      </c>
      <c r="DX34" s="26">
        <v>5797.3159999999998</v>
      </c>
      <c r="DY34" s="25"/>
      <c r="DZ34" s="24">
        <v>1425.66</v>
      </c>
      <c r="EA34" s="25">
        <v>1526.8030000000001</v>
      </c>
      <c r="EB34" s="25">
        <v>1633.5719999999999</v>
      </c>
      <c r="EC34" s="26">
        <v>6538.9319999999998</v>
      </c>
      <c r="ED34" s="25"/>
      <c r="EE34" s="24">
        <v>104.777</v>
      </c>
      <c r="EF34" s="25">
        <v>86.819000000000003</v>
      </c>
      <c r="EG34" s="25">
        <v>317.68900000000002</v>
      </c>
      <c r="EH34" s="25">
        <v>79.471000000000004</v>
      </c>
      <c r="EI34" s="25">
        <v>676.08699999999999</v>
      </c>
      <c r="EJ34" s="25">
        <v>0</v>
      </c>
      <c r="EK34" s="25">
        <v>240.19</v>
      </c>
      <c r="EL34" s="25">
        <v>557.40200000000004</v>
      </c>
      <c r="EM34" s="26">
        <v>8059.0159999999996</v>
      </c>
      <c r="EN34" s="26">
        <f t="shared" si="48"/>
        <v>10121.451000000001</v>
      </c>
      <c r="EO34" s="45"/>
      <c r="EP34" s="36">
        <f t="shared" si="49"/>
        <v>1.035197423768588E-2</v>
      </c>
      <c r="EQ34" s="33">
        <f t="shared" si="50"/>
        <v>8.5777227000357944E-3</v>
      </c>
      <c r="ER34" s="33">
        <f t="shared" si="51"/>
        <v>3.138769332578896E-2</v>
      </c>
      <c r="ES34" s="33">
        <f t="shared" si="52"/>
        <v>7.8517398345355812E-3</v>
      </c>
      <c r="ET34" s="33">
        <f t="shared" si="53"/>
        <v>6.6797438430517511E-2</v>
      </c>
      <c r="EU34" s="33">
        <f t="shared" si="54"/>
        <v>0</v>
      </c>
      <c r="EV34" s="33">
        <f t="shared" si="55"/>
        <v>2.3730787216180761E-2</v>
      </c>
      <c r="EW34" s="33">
        <f t="shared" si="56"/>
        <v>5.5071352911751484E-2</v>
      </c>
      <c r="EX34" s="33">
        <f t="shared" si="57"/>
        <v>0.7962312913435039</v>
      </c>
      <c r="EY34" s="39">
        <f t="shared" si="58"/>
        <v>0.99999999999999989</v>
      </c>
      <c r="EZ34" s="45"/>
      <c r="FA34" s="27">
        <v>33.001000000000005</v>
      </c>
      <c r="FB34" s="28">
        <v>150.15299999999999</v>
      </c>
      <c r="FC34" s="42">
        <f t="shared" si="59"/>
        <v>183.154</v>
      </c>
      <c r="FE34" s="27">
        <f>CB34</f>
        <v>28.297999999999998</v>
      </c>
      <c r="FF34" s="28">
        <f>CC34</f>
        <v>12.885000000000002</v>
      </c>
      <c r="FG34" s="42">
        <f t="shared" si="60"/>
        <v>41.183</v>
      </c>
      <c r="FI34" s="53">
        <v>9490.4959999999992</v>
      </c>
      <c r="FJ34" s="54">
        <v>957.053</v>
      </c>
      <c r="FK34" s="55">
        <v>183.09899999999999</v>
      </c>
      <c r="FL34" s="56">
        <f t="shared" si="61"/>
        <v>10630.647999999999</v>
      </c>
      <c r="FM34" s="57">
        <f t="shared" si="62"/>
        <v>0.89274858879722097</v>
      </c>
      <c r="FN34" s="58">
        <f t="shared" si="63"/>
        <v>9.0027719853013666E-2</v>
      </c>
      <c r="FO34" s="59">
        <f t="shared" si="64"/>
        <v>1.722369134976532E-2</v>
      </c>
      <c r="FP34" s="61">
        <f t="shared" si="65"/>
        <v>0.99999999999999989</v>
      </c>
      <c r="FR34" s="24">
        <f>FV34*E34</f>
        <v>8379.6409999999996</v>
      </c>
      <c r="FS34" s="25">
        <f>E34*FW34</f>
        <v>2248.2710000000002</v>
      </c>
      <c r="FT34" s="26">
        <f t="shared" si="66"/>
        <v>10627.912</v>
      </c>
      <c r="FV34" s="36">
        <v>0.78845600151751349</v>
      </c>
      <c r="FW34" s="33">
        <v>0.21154399848248651</v>
      </c>
      <c r="FX34" s="34">
        <f t="shared" si="67"/>
        <v>1</v>
      </c>
      <c r="FY34" s="45"/>
      <c r="FZ34" s="44">
        <f t="shared" si="68"/>
        <v>1492.6804999999999</v>
      </c>
      <c r="GA34" s="25">
        <v>1426.623</v>
      </c>
      <c r="GB34" s="26">
        <v>1558.7380000000001</v>
      </c>
      <c r="GD34" s="44">
        <f t="shared" si="69"/>
        <v>10216.181</v>
      </c>
      <c r="GE34" s="25">
        <v>9804.4500000000007</v>
      </c>
      <c r="GF34" s="26">
        <v>10627.912</v>
      </c>
      <c r="GH34" s="44">
        <f t="shared" si="70"/>
        <v>2881.35</v>
      </c>
      <c r="GI34" s="25">
        <v>2829.288</v>
      </c>
      <c r="GJ34" s="26">
        <f>F34</f>
        <v>2933.4119999999998</v>
      </c>
      <c r="GL34" s="44">
        <f t="shared" si="71"/>
        <v>13097.531000000001</v>
      </c>
      <c r="GM34" s="45">
        <f t="shared" si="72"/>
        <v>12633.738000000001</v>
      </c>
      <c r="GN34" s="46">
        <f t="shared" si="73"/>
        <v>13561.324000000001</v>
      </c>
      <c r="GP34" s="44">
        <f t="shared" si="74"/>
        <v>9078.9205000000002</v>
      </c>
      <c r="GQ34" s="25">
        <v>8531.5769999999993</v>
      </c>
      <c r="GR34" s="26">
        <f>G34</f>
        <v>9626.2639999999992</v>
      </c>
      <c r="GS34" s="25"/>
      <c r="GT34" s="44">
        <f t="shared" si="75"/>
        <v>12688.302</v>
      </c>
      <c r="GU34" s="25">
        <v>12072.683999999999</v>
      </c>
      <c r="GV34" s="26">
        <f>C34</f>
        <v>13303.92</v>
      </c>
      <c r="GW34" s="25"/>
      <c r="GX34" s="61">
        <f>DX34/C34</f>
        <v>0.4357599865302858</v>
      </c>
      <c r="GY34" s="62"/>
    </row>
    <row r="35" spans="1:207" x14ac:dyDescent="0.25">
      <c r="A35" s="1"/>
      <c r="B35" s="23" t="s">
        <v>206</v>
      </c>
      <c r="C35" s="24">
        <v>23596.511999999999</v>
      </c>
      <c r="D35" s="25">
        <f t="shared" si="0"/>
        <v>23060.013500000001</v>
      </c>
      <c r="E35" s="25">
        <v>18660.18</v>
      </c>
      <c r="F35" s="25">
        <v>5827</v>
      </c>
      <c r="G35" s="25">
        <v>15254.833000000001</v>
      </c>
      <c r="H35" s="25">
        <f t="shared" si="1"/>
        <v>29423.511999999999</v>
      </c>
      <c r="I35" s="26">
        <f t="shared" si="2"/>
        <v>24487.18</v>
      </c>
      <c r="J35" s="25"/>
      <c r="K35" s="27">
        <v>270.17399999999998</v>
      </c>
      <c r="L35" s="28">
        <v>48.255000000000003</v>
      </c>
      <c r="M35" s="28">
        <v>1.2050000000000001</v>
      </c>
      <c r="N35" s="29">
        <f t="shared" si="3"/>
        <v>319.63399999999996</v>
      </c>
      <c r="O35" s="28">
        <v>133.518</v>
      </c>
      <c r="P35" s="29">
        <f t="shared" si="4"/>
        <v>186.11599999999996</v>
      </c>
      <c r="Q35" s="28">
        <v>9.4819999999999993</v>
      </c>
      <c r="R35" s="29">
        <f t="shared" si="5"/>
        <v>176.63399999999996</v>
      </c>
      <c r="S35" s="28">
        <v>41.594999999999999</v>
      </c>
      <c r="T35" s="28">
        <v>2.7389999999999999</v>
      </c>
      <c r="U35" s="28">
        <v>-1</v>
      </c>
      <c r="V35" s="29">
        <f t="shared" si="6"/>
        <v>219.96799999999996</v>
      </c>
      <c r="W35" s="28">
        <v>45.16</v>
      </c>
      <c r="X35" s="30">
        <f t="shared" si="7"/>
        <v>174.80799999999996</v>
      </c>
      <c r="Y35" s="28"/>
      <c r="Z35" s="31">
        <f t="shared" si="8"/>
        <v>2.3432249942091313E-2</v>
      </c>
      <c r="AA35" s="32">
        <f t="shared" si="9"/>
        <v>4.1851666739050261E-3</v>
      </c>
      <c r="AB35" s="33">
        <f t="shared" si="10"/>
        <v>0.3668399419729208</v>
      </c>
      <c r="AC35" s="33">
        <f t="shared" si="11"/>
        <v>0.3696214866469747</v>
      </c>
      <c r="AD35" s="33">
        <f t="shared" si="12"/>
        <v>0.41772151898734183</v>
      </c>
      <c r="AE35" s="32">
        <f t="shared" si="13"/>
        <v>1.1580045258863357E-2</v>
      </c>
      <c r="AF35" s="32">
        <f t="shared" si="14"/>
        <v>1.516113596377556E-2</v>
      </c>
      <c r="AG35" s="32">
        <f>X35/DV35*2</f>
        <v>3.1443719150466641E-2</v>
      </c>
      <c r="AH35" s="32">
        <f>(P35+S35+T35)/DV35*2</f>
        <v>4.1452365327817015E-2</v>
      </c>
      <c r="AI35" s="32">
        <f>R35/DV35*2</f>
        <v>3.1772172259985375E-2</v>
      </c>
      <c r="AJ35" s="34">
        <f>X35/FZ35*2</f>
        <v>0.11940041603812987</v>
      </c>
      <c r="AK35" s="35"/>
      <c r="AL35" s="36">
        <f t="shared" si="15"/>
        <v>9.5456325643168485E-3</v>
      </c>
      <c r="AM35" s="33">
        <f t="shared" si="16"/>
        <v>8.0799246204673256E-2</v>
      </c>
      <c r="AN35" s="34">
        <f t="shared" si="17"/>
        <v>3.705032872917835E-2</v>
      </c>
      <c r="AO35" s="28"/>
      <c r="AP35" s="36">
        <f t="shared" si="18"/>
        <v>0.81750728020844388</v>
      </c>
      <c r="AQ35" s="33">
        <f t="shared" si="19"/>
        <v>0.74635687746892465</v>
      </c>
      <c r="AR35" s="33">
        <f t="shared" si="20"/>
        <v>5.2174406115615746E-2</v>
      </c>
      <c r="AS35" s="33">
        <f t="shared" si="21"/>
        <v>0.33022016135266097</v>
      </c>
      <c r="AT35" s="33">
        <f t="shared" si="22"/>
        <v>0.16752870085205815</v>
      </c>
      <c r="AU35" s="37">
        <v>2.4700000000000002</v>
      </c>
      <c r="AV35" s="38">
        <v>1.3740000000000001</v>
      </c>
      <c r="AW35" s="28"/>
      <c r="AX35" s="36">
        <f>GB35/C35</f>
        <v>0.12760877539866908</v>
      </c>
      <c r="AY35" s="33">
        <v>0.1086</v>
      </c>
      <c r="AZ35" s="33">
        <f t="shared" si="23"/>
        <v>0.24435808977055698</v>
      </c>
      <c r="BA35" s="33">
        <f t="shared" si="24"/>
        <v>0.25663630390242254</v>
      </c>
      <c r="BB35" s="34">
        <f t="shared" si="25"/>
        <v>0.27316466907993386</v>
      </c>
      <c r="BC35" s="33"/>
      <c r="BD35" s="36">
        <f t="shared" si="26"/>
        <v>0.21617676523136414</v>
      </c>
      <c r="BE35" s="33">
        <f t="shared" si="27"/>
        <v>0.2297119785968473</v>
      </c>
      <c r="BF35" s="34">
        <f t="shared" si="28"/>
        <v>0.24793545295701211</v>
      </c>
      <c r="BG35" s="25"/>
      <c r="BH35" s="39">
        <v>2.5999999999999999E-2</v>
      </c>
      <c r="BI35" s="36">
        <f t="shared" si="29"/>
        <v>1.4624999999999999E-2</v>
      </c>
      <c r="BJ35" s="34">
        <f t="shared" si="30"/>
        <v>1.95E-2</v>
      </c>
      <c r="BK35" s="39">
        <v>0.01</v>
      </c>
      <c r="BL35" s="33"/>
      <c r="BM35" s="39">
        <f t="shared" si="31"/>
        <v>6.1551765231364131E-2</v>
      </c>
      <c r="BN35" s="34">
        <f t="shared" si="32"/>
        <v>5.5211978596847316E-2</v>
      </c>
      <c r="BO35" s="34">
        <f t="shared" si="33"/>
        <v>4.6935452957012097E-2</v>
      </c>
      <c r="BP35" s="28"/>
      <c r="BQ35" s="31">
        <f>Q35/GD35*2</f>
        <v>1.021109214614149E-3</v>
      </c>
      <c r="BR35" s="33">
        <f t="shared" si="34"/>
        <v>4.1145584725536997E-2</v>
      </c>
      <c r="BS35" s="32">
        <f>FC35/E35</f>
        <v>1.0608204208105173E-2</v>
      </c>
      <c r="BT35" s="33">
        <f t="shared" si="35"/>
        <v>6.3386510061096663E-2</v>
      </c>
      <c r="BU35" s="33">
        <f t="shared" si="36"/>
        <v>0.70458237809067226</v>
      </c>
      <c r="BV35" s="34">
        <f t="shared" si="37"/>
        <v>0.77488032513339622</v>
      </c>
      <c r="BW35" s="28"/>
      <c r="BX35" s="27">
        <v>94.944000000000003</v>
      </c>
      <c r="BY35" s="28">
        <v>885.69100000000003</v>
      </c>
      <c r="BZ35" s="29">
        <f t="shared" si="38"/>
        <v>980.63499999999999</v>
      </c>
      <c r="CA35" s="25">
        <v>18660.18</v>
      </c>
      <c r="CB35" s="28">
        <v>64.197000000000003</v>
      </c>
      <c r="CC35" s="28">
        <v>47.600999999999999</v>
      </c>
      <c r="CD35" s="29">
        <f t="shared" si="39"/>
        <v>18548.382000000001</v>
      </c>
      <c r="CE35" s="28">
        <v>2970.6419999999998</v>
      </c>
      <c r="CF35" s="28">
        <v>902.28800000000001</v>
      </c>
      <c r="CG35" s="29">
        <f t="shared" si="40"/>
        <v>3872.93</v>
      </c>
      <c r="CH35" s="28">
        <v>1.7450000000000001</v>
      </c>
      <c r="CI35" s="28">
        <v>0</v>
      </c>
      <c r="CJ35" s="28">
        <v>185.261</v>
      </c>
      <c r="CK35" s="28">
        <v>7.5589999999991448</v>
      </c>
      <c r="CL35" s="29">
        <f t="shared" si="41"/>
        <v>23596.511999999995</v>
      </c>
      <c r="CM35" s="28">
        <v>116.539</v>
      </c>
      <c r="CN35" s="25">
        <v>15254.833000000001</v>
      </c>
      <c r="CO35" s="29">
        <f t="shared" si="42"/>
        <v>15371.372000000001</v>
      </c>
      <c r="CP35" s="28">
        <v>4762.0050000000001</v>
      </c>
      <c r="CQ35" s="28">
        <v>146.32999999999765</v>
      </c>
      <c r="CR35" s="29">
        <f t="shared" si="43"/>
        <v>4908.3349999999973</v>
      </c>
      <c r="CS35" s="28">
        <v>305.68299999999999</v>
      </c>
      <c r="CT35" s="28">
        <v>3011.1219999999998</v>
      </c>
      <c r="CU35" s="42">
        <f t="shared" si="44"/>
        <v>23596.511999999999</v>
      </c>
      <c r="CV35" s="28"/>
      <c r="CW35" s="43">
        <v>3953.0929999999998</v>
      </c>
      <c r="CX35" s="28"/>
      <c r="CY35" s="24">
        <v>820</v>
      </c>
      <c r="CZ35" s="25">
        <v>1240</v>
      </c>
      <c r="DA35" s="25">
        <v>765</v>
      </c>
      <c r="DB35" s="25">
        <v>1200</v>
      </c>
      <c r="DC35" s="25">
        <v>1140</v>
      </c>
      <c r="DD35" s="25">
        <v>0</v>
      </c>
      <c r="DE35" s="26">
        <f t="shared" si="45"/>
        <v>5165</v>
      </c>
      <c r="DF35" s="34">
        <f t="shared" si="46"/>
        <v>0.21888828314964517</v>
      </c>
      <c r="DG35" s="68"/>
      <c r="DH35" s="44" t="s">
        <v>235</v>
      </c>
      <c r="DI35" s="45">
        <v>110.3</v>
      </c>
      <c r="DJ35" s="46">
        <v>15</v>
      </c>
      <c r="DK35" s="45" t="s">
        <v>168</v>
      </c>
      <c r="DL35" s="47" t="s">
        <v>169</v>
      </c>
      <c r="DM35" s="48" t="s">
        <v>172</v>
      </c>
      <c r="DN35" s="39">
        <v>0.22151740279916099</v>
      </c>
      <c r="DO35" s="66" t="s">
        <v>178</v>
      </c>
      <c r="DP35" s="67" t="s">
        <v>174</v>
      </c>
      <c r="DQ35" s="25"/>
      <c r="DR35" s="24">
        <v>2587.2289999999998</v>
      </c>
      <c r="DS35" s="25">
        <v>2717.2289999999998</v>
      </c>
      <c r="DT35" s="26">
        <v>2892.2289999999998</v>
      </c>
      <c r="DU35" s="25"/>
      <c r="DV35" s="44">
        <f t="shared" si="47"/>
        <v>11118.7865</v>
      </c>
      <c r="DW35" s="25">
        <v>11649.714</v>
      </c>
      <c r="DX35" s="26">
        <v>10587.859</v>
      </c>
      <c r="DY35" s="25"/>
      <c r="DZ35" s="24">
        <v>2581.942</v>
      </c>
      <c r="EA35" s="25">
        <v>2743.6019999999999</v>
      </c>
      <c r="EB35" s="25">
        <v>2961.2570000000001</v>
      </c>
      <c r="EC35" s="26">
        <v>11943.661</v>
      </c>
      <c r="ED35" s="25"/>
      <c r="EE35" s="24">
        <v>91.123000000000005</v>
      </c>
      <c r="EF35" s="25">
        <v>59.201000000000001</v>
      </c>
      <c r="EG35" s="25">
        <v>1835.39</v>
      </c>
      <c r="EH35" s="25">
        <v>355.166</v>
      </c>
      <c r="EI35" s="25">
        <v>2895.2860000000001</v>
      </c>
      <c r="EJ35" s="25">
        <v>0</v>
      </c>
      <c r="EK35" s="25">
        <v>62.186999999999998</v>
      </c>
      <c r="EL35" s="25">
        <v>218.18099999999868</v>
      </c>
      <c r="EM35" s="26">
        <v>13477.124</v>
      </c>
      <c r="EN35" s="26">
        <f t="shared" si="48"/>
        <v>18993.657999999999</v>
      </c>
      <c r="EO35" s="45"/>
      <c r="EP35" s="36">
        <f t="shared" si="49"/>
        <v>4.797548739689848E-3</v>
      </c>
      <c r="EQ35" s="33">
        <f t="shared" si="50"/>
        <v>3.1168824878283056E-3</v>
      </c>
      <c r="ER35" s="33">
        <f t="shared" si="51"/>
        <v>9.6631728337953651E-2</v>
      </c>
      <c r="ES35" s="33">
        <f t="shared" si="52"/>
        <v>1.8699188960862621E-2</v>
      </c>
      <c r="ET35" s="33">
        <f t="shared" si="53"/>
        <v>0.1524343546672263</v>
      </c>
      <c r="EU35" s="33">
        <f t="shared" si="54"/>
        <v>0</v>
      </c>
      <c r="EV35" s="33">
        <f t="shared" si="55"/>
        <v>3.2740928577317755E-3</v>
      </c>
      <c r="EW35" s="33">
        <f t="shared" si="56"/>
        <v>1.148704478094734E-2</v>
      </c>
      <c r="EX35" s="33">
        <f t="shared" si="57"/>
        <v>0.70955915916776013</v>
      </c>
      <c r="EY35" s="39">
        <f t="shared" si="58"/>
        <v>1</v>
      </c>
      <c r="EZ35" s="45"/>
      <c r="FA35" s="27">
        <v>164.279</v>
      </c>
      <c r="FB35" s="28">
        <v>33.671999999999997</v>
      </c>
      <c r="FC35" s="42">
        <f t="shared" si="59"/>
        <v>197.95099999999999</v>
      </c>
      <c r="FE35" s="27">
        <f>CB35</f>
        <v>64.197000000000003</v>
      </c>
      <c r="FF35" s="28">
        <f>CC35</f>
        <v>47.600999999999999</v>
      </c>
      <c r="FG35" s="42">
        <f t="shared" si="60"/>
        <v>111.798</v>
      </c>
      <c r="FI35" s="53">
        <v>16236.079</v>
      </c>
      <c r="FJ35" s="54">
        <v>1837.0940000000001</v>
      </c>
      <c r="FK35" s="55">
        <v>285.85700000000003</v>
      </c>
      <c r="FL35" s="56">
        <f t="shared" si="61"/>
        <v>18359.03</v>
      </c>
      <c r="FM35" s="57">
        <f t="shared" si="62"/>
        <v>0.88436475129677339</v>
      </c>
      <c r="FN35" s="58">
        <f t="shared" si="63"/>
        <v>0.10006487270841652</v>
      </c>
      <c r="FO35" s="59">
        <f t="shared" si="64"/>
        <v>1.5570375994810186E-2</v>
      </c>
      <c r="FP35" s="61">
        <f t="shared" si="65"/>
        <v>1.0000000000000002</v>
      </c>
      <c r="FR35" s="24">
        <f>FV35*E35</f>
        <v>13147.634</v>
      </c>
      <c r="FS35" s="25">
        <f>E35*FW35</f>
        <v>5512.5459999999994</v>
      </c>
      <c r="FT35" s="26">
        <f t="shared" si="66"/>
        <v>18660.18</v>
      </c>
      <c r="FV35" s="36">
        <v>0.70458237809067226</v>
      </c>
      <c r="FW35" s="33">
        <v>0.29541762190932774</v>
      </c>
      <c r="FX35" s="34">
        <f t="shared" si="67"/>
        <v>1</v>
      </c>
      <c r="FY35" s="45"/>
      <c r="FZ35" s="44">
        <f t="shared" si="68"/>
        <v>2928.0969999999998</v>
      </c>
      <c r="GA35" s="25">
        <v>2845.0720000000001</v>
      </c>
      <c r="GB35" s="26">
        <v>3011.1219999999998</v>
      </c>
      <c r="GD35" s="44">
        <f t="shared" si="69"/>
        <v>18571.960500000001</v>
      </c>
      <c r="GE35" s="25">
        <v>18483.741000000002</v>
      </c>
      <c r="GF35" s="26">
        <v>18660.18</v>
      </c>
      <c r="GH35" s="44">
        <f t="shared" si="70"/>
        <v>4999.9035000000003</v>
      </c>
      <c r="GI35" s="25">
        <v>4172.8069999999998</v>
      </c>
      <c r="GJ35" s="26">
        <f>F35</f>
        <v>5827</v>
      </c>
      <c r="GL35" s="44">
        <f t="shared" si="71"/>
        <v>23571.864000000001</v>
      </c>
      <c r="GM35" s="45">
        <f t="shared" si="72"/>
        <v>22656.548000000003</v>
      </c>
      <c r="GN35" s="46">
        <f t="shared" si="73"/>
        <v>24487.18</v>
      </c>
      <c r="GP35" s="44">
        <f t="shared" si="74"/>
        <v>14982.331</v>
      </c>
      <c r="GQ35" s="25">
        <v>14709.829</v>
      </c>
      <c r="GR35" s="26">
        <f>G35</f>
        <v>15254.833000000001</v>
      </c>
      <c r="GS35" s="25"/>
      <c r="GT35" s="44">
        <f t="shared" si="75"/>
        <v>23060.013500000001</v>
      </c>
      <c r="GU35" s="25">
        <v>22523.514999999999</v>
      </c>
      <c r="GV35" s="26">
        <f>C35</f>
        <v>23596.511999999999</v>
      </c>
      <c r="GW35" s="25"/>
      <c r="GX35" s="61">
        <f>DX35/C35</f>
        <v>0.44870441021113633</v>
      </c>
      <c r="GY35" s="62"/>
    </row>
    <row r="36" spans="1:207" x14ac:dyDescent="0.25">
      <c r="A36" s="1"/>
      <c r="B36" s="23" t="s">
        <v>207</v>
      </c>
      <c r="C36" s="24">
        <v>8442.8940000000002</v>
      </c>
      <c r="D36" s="25">
        <f t="shared" si="0"/>
        <v>8268.8765000000003</v>
      </c>
      <c r="E36" s="25">
        <v>6649.64</v>
      </c>
      <c r="F36" s="25">
        <v>933.14700000000005</v>
      </c>
      <c r="G36" s="25">
        <v>6381.5630000000001</v>
      </c>
      <c r="H36" s="25">
        <f t="shared" si="1"/>
        <v>9376.0410000000011</v>
      </c>
      <c r="I36" s="26">
        <f t="shared" si="2"/>
        <v>7582.7870000000003</v>
      </c>
      <c r="J36" s="25"/>
      <c r="K36" s="27">
        <v>91.736999999999995</v>
      </c>
      <c r="L36" s="28">
        <v>11.812999999999999</v>
      </c>
      <c r="M36" s="28">
        <v>1.9970000000000001</v>
      </c>
      <c r="N36" s="29">
        <f t="shared" si="3"/>
        <v>105.547</v>
      </c>
      <c r="O36" s="28">
        <v>55.997</v>
      </c>
      <c r="P36" s="29">
        <f t="shared" si="4"/>
        <v>49.55</v>
      </c>
      <c r="Q36" s="28">
        <v>-0.254</v>
      </c>
      <c r="R36" s="29">
        <f t="shared" si="5"/>
        <v>49.803999999999995</v>
      </c>
      <c r="S36" s="28">
        <v>18.327000000000002</v>
      </c>
      <c r="T36" s="28">
        <v>7.4589999999999996</v>
      </c>
      <c r="U36" s="28">
        <v>-2</v>
      </c>
      <c r="V36" s="29">
        <f t="shared" si="6"/>
        <v>73.59</v>
      </c>
      <c r="W36" s="28">
        <v>16.5</v>
      </c>
      <c r="X36" s="30">
        <f t="shared" si="7"/>
        <v>57.09</v>
      </c>
      <c r="Y36" s="28"/>
      <c r="Z36" s="31">
        <f t="shared" si="8"/>
        <v>2.2188504085168037E-2</v>
      </c>
      <c r="AA36" s="32">
        <f t="shared" si="9"/>
        <v>2.85722008304272E-3</v>
      </c>
      <c r="AB36" s="33">
        <f t="shared" si="10"/>
        <v>0.42637417861466653</v>
      </c>
      <c r="AC36" s="33">
        <f t="shared" si="11"/>
        <v>0.45204804882380484</v>
      </c>
      <c r="AD36" s="33">
        <f t="shared" si="12"/>
        <v>0.53054089647266145</v>
      </c>
      <c r="AE36" s="32">
        <f t="shared" si="13"/>
        <v>1.3544040717018811E-2</v>
      </c>
      <c r="AF36" s="32">
        <f t="shared" si="14"/>
        <v>1.3808405531271389E-2</v>
      </c>
      <c r="AG36" s="32">
        <f>X36/DV36*2</f>
        <v>2.8760129362648785E-2</v>
      </c>
      <c r="AH36" s="32">
        <f>(P36+S36+T36)/DV36*2</f>
        <v>3.7951884842608315E-2</v>
      </c>
      <c r="AI36" s="32">
        <f>R36/DV36*2</f>
        <v>2.5089673896958486E-2</v>
      </c>
      <c r="AJ36" s="34">
        <f>X36/FZ36*2</f>
        <v>9.7621449701612503E-2</v>
      </c>
      <c r="AK36" s="35"/>
      <c r="AL36" s="36">
        <f t="shared" si="15"/>
        <v>1.2091880391964059E-2</v>
      </c>
      <c r="AM36" s="33">
        <f t="shared" si="16"/>
        <v>2.0204326444417452E-2</v>
      </c>
      <c r="AN36" s="34">
        <f t="shared" si="17"/>
        <v>3.5917737109838359E-2</v>
      </c>
      <c r="AO36" s="28"/>
      <c r="AP36" s="36">
        <f t="shared" si="18"/>
        <v>0.95968548673311638</v>
      </c>
      <c r="AQ36" s="33">
        <f t="shared" si="19"/>
        <v>0.89317525110902263</v>
      </c>
      <c r="AR36" s="33">
        <f t="shared" si="20"/>
        <v>-3.2490399618898463E-2</v>
      </c>
      <c r="AS36" s="33">
        <f t="shared" si="21"/>
        <v>0.14566279050761502</v>
      </c>
      <c r="AT36" s="33">
        <f t="shared" si="22"/>
        <v>0.12289091868262234</v>
      </c>
      <c r="AU36" s="37">
        <v>2.33</v>
      </c>
      <c r="AV36" s="38">
        <v>1.39</v>
      </c>
      <c r="AW36" s="28"/>
      <c r="AX36" s="36">
        <f>GB36/C36</f>
        <v>0.14441292286744331</v>
      </c>
      <c r="AY36" s="33">
        <v>0.13</v>
      </c>
      <c r="AZ36" s="33">
        <f t="shared" si="23"/>
        <v>0.28604504798233932</v>
      </c>
      <c r="BA36" s="33">
        <f t="shared" si="24"/>
        <v>0.28604504798233932</v>
      </c>
      <c r="BB36" s="34">
        <f t="shared" si="25"/>
        <v>0.28604504798233932</v>
      </c>
      <c r="BC36" s="33"/>
      <c r="BD36" s="36">
        <f t="shared" si="26"/>
        <v>0.26430203960828624</v>
      </c>
      <c r="BE36" s="33">
        <f t="shared" si="27"/>
        <v>0.26591319626326287</v>
      </c>
      <c r="BF36" s="34">
        <f t="shared" si="28"/>
        <v>0.26806179663111118</v>
      </c>
      <c r="BG36" s="25"/>
      <c r="BH36" s="39">
        <v>2.1000000000000001E-2</v>
      </c>
      <c r="BI36" s="36">
        <f t="shared" si="29"/>
        <v>1.18125E-2</v>
      </c>
      <c r="BJ36" s="34">
        <f t="shared" si="30"/>
        <v>1.575E-2</v>
      </c>
      <c r="BK36" s="39">
        <v>0.01</v>
      </c>
      <c r="BL36" s="33"/>
      <c r="BM36" s="39">
        <f t="shared" si="31"/>
        <v>0.11248953960828623</v>
      </c>
      <c r="BN36" s="34">
        <f t="shared" si="32"/>
        <v>9.5163196263262861E-2</v>
      </c>
      <c r="BO36" s="34">
        <f t="shared" si="33"/>
        <v>7.2061796631111175E-2</v>
      </c>
      <c r="BP36" s="28"/>
      <c r="BQ36" s="31">
        <f>Q36/GD36*2</f>
        <v>-7.685421768533553E-5</v>
      </c>
      <c r="BR36" s="33">
        <f t="shared" si="34"/>
        <v>-3.3715620685993417E-3</v>
      </c>
      <c r="BS36" s="32">
        <f>FC36/E36</f>
        <v>2.2338803303637491E-2</v>
      </c>
      <c r="BT36" s="33">
        <f t="shared" si="35"/>
        <v>0.11854911115101457</v>
      </c>
      <c r="BU36" s="33">
        <f t="shared" si="36"/>
        <v>0.85364140013594725</v>
      </c>
      <c r="BV36" s="34">
        <f t="shared" si="37"/>
        <v>0.87165246762173332</v>
      </c>
      <c r="BW36" s="28"/>
      <c r="BX36" s="27">
        <v>88.697000000000003</v>
      </c>
      <c r="BY36" s="28">
        <v>920.61300000000006</v>
      </c>
      <c r="BZ36" s="29">
        <f t="shared" si="38"/>
        <v>1009.3100000000001</v>
      </c>
      <c r="CA36" s="25">
        <v>6649.64</v>
      </c>
      <c r="CB36" s="28">
        <v>27.035</v>
      </c>
      <c r="CC36" s="28">
        <v>6.7270000000000003</v>
      </c>
      <c r="CD36" s="29">
        <f t="shared" si="39"/>
        <v>6615.8780000000006</v>
      </c>
      <c r="CE36" s="28">
        <v>10.093999999999999</v>
      </c>
      <c r="CF36" s="28">
        <v>698.94500000000005</v>
      </c>
      <c r="CG36" s="29">
        <f t="shared" si="40"/>
        <v>709.0390000000001</v>
      </c>
      <c r="CH36" s="28">
        <v>13.35</v>
      </c>
      <c r="CI36" s="28">
        <v>0</v>
      </c>
      <c r="CJ36" s="28">
        <v>87.221999999999994</v>
      </c>
      <c r="CK36" s="28">
        <v>8.094999999999132</v>
      </c>
      <c r="CL36" s="29">
        <f t="shared" si="41"/>
        <v>8442.8940000000002</v>
      </c>
      <c r="CM36" s="28">
        <v>61.966999999999999</v>
      </c>
      <c r="CN36" s="25">
        <v>6381.5630000000001</v>
      </c>
      <c r="CO36" s="29">
        <f t="shared" si="42"/>
        <v>6443.53</v>
      </c>
      <c r="CP36" s="28">
        <v>701.27499999999998</v>
      </c>
      <c r="CQ36" s="28">
        <v>78.826000000000477</v>
      </c>
      <c r="CR36" s="29">
        <f t="shared" si="43"/>
        <v>780.10100000000045</v>
      </c>
      <c r="CS36" s="28">
        <v>0</v>
      </c>
      <c r="CT36" s="28">
        <v>1219.2629999999999</v>
      </c>
      <c r="CU36" s="42">
        <f t="shared" si="44"/>
        <v>8442.8940000000002</v>
      </c>
      <c r="CV36" s="28"/>
      <c r="CW36" s="43">
        <v>1037.5550000000001</v>
      </c>
      <c r="CX36" s="28"/>
      <c r="CY36" s="24">
        <v>200</v>
      </c>
      <c r="CZ36" s="25">
        <v>360</v>
      </c>
      <c r="DA36" s="25">
        <v>200</v>
      </c>
      <c r="DB36" s="25">
        <v>0</v>
      </c>
      <c r="DC36" s="25">
        <v>0</v>
      </c>
      <c r="DD36" s="25">
        <v>0</v>
      </c>
      <c r="DE36" s="26">
        <f t="shared" si="45"/>
        <v>760</v>
      </c>
      <c r="DF36" s="34">
        <f t="shared" si="46"/>
        <v>9.00165275082217E-2</v>
      </c>
      <c r="DG36" s="68"/>
      <c r="DH36" s="44" t="s">
        <v>235</v>
      </c>
      <c r="DI36" s="45">
        <v>41.1</v>
      </c>
      <c r="DJ36" s="46">
        <v>7</v>
      </c>
      <c r="DK36" s="45" t="s">
        <v>168</v>
      </c>
      <c r="DL36" s="47" t="s">
        <v>169</v>
      </c>
      <c r="DM36" s="48" t="s">
        <v>172</v>
      </c>
      <c r="DN36" s="39">
        <v>0.11750863796356921</v>
      </c>
      <c r="DO36" s="36"/>
      <c r="DP36" s="34"/>
      <c r="DQ36" s="25"/>
      <c r="DR36" s="24">
        <v>1133.5129999999999</v>
      </c>
      <c r="DS36" s="25">
        <v>1133.5129999999999</v>
      </c>
      <c r="DT36" s="26">
        <v>1133.5129999999999</v>
      </c>
      <c r="DU36" s="25"/>
      <c r="DV36" s="44">
        <f t="shared" si="47"/>
        <v>3970.0794999999998</v>
      </c>
      <c r="DW36" s="25">
        <v>3977.451</v>
      </c>
      <c r="DX36" s="26">
        <v>3962.7080000000001</v>
      </c>
      <c r="DY36" s="25"/>
      <c r="DZ36" s="24">
        <v>1125.184</v>
      </c>
      <c r="EA36" s="25">
        <v>1132.0429999999999</v>
      </c>
      <c r="EB36" s="25">
        <v>1141.19</v>
      </c>
      <c r="EC36" s="26">
        <v>4257.1899999999996</v>
      </c>
      <c r="ED36" s="25"/>
      <c r="EE36" s="24">
        <v>80.8</v>
      </c>
      <c r="EF36" s="25">
        <v>15.1</v>
      </c>
      <c r="EG36" s="25">
        <v>275.89999999999998</v>
      </c>
      <c r="EH36" s="25">
        <v>188.3</v>
      </c>
      <c r="EI36" s="25">
        <v>424.6</v>
      </c>
      <c r="EJ36" s="25">
        <v>54.7</v>
      </c>
      <c r="EK36" s="25">
        <v>37.400000000000006</v>
      </c>
      <c r="EL36" s="25">
        <v>97.908999999999651</v>
      </c>
      <c r="EM36" s="26">
        <v>5431.0479999999998</v>
      </c>
      <c r="EN36" s="26">
        <f t="shared" si="48"/>
        <v>6605.7569999999987</v>
      </c>
      <c r="EO36" s="45"/>
      <c r="EP36" s="36">
        <f t="shared" si="49"/>
        <v>1.2231754816291306E-2</v>
      </c>
      <c r="EQ36" s="33">
        <f t="shared" si="50"/>
        <v>2.2858848728465188E-3</v>
      </c>
      <c r="ER36" s="33">
        <f t="shared" si="51"/>
        <v>4.1766598438301626E-2</v>
      </c>
      <c r="ES36" s="33">
        <f t="shared" si="52"/>
        <v>2.850543851370858E-2</v>
      </c>
      <c r="ET36" s="33">
        <f t="shared" si="53"/>
        <v>6.4277266027194177E-2</v>
      </c>
      <c r="EU36" s="33">
        <f t="shared" si="54"/>
        <v>8.2806557976625554E-3</v>
      </c>
      <c r="EV36" s="33">
        <f t="shared" si="55"/>
        <v>5.6617280956595909E-3</v>
      </c>
      <c r="EW36" s="33">
        <f t="shared" si="56"/>
        <v>1.4821768345399274E-2</v>
      </c>
      <c r="EX36" s="33">
        <f t="shared" si="57"/>
        <v>0.8221689050929365</v>
      </c>
      <c r="EY36" s="39">
        <f t="shared" si="58"/>
        <v>1</v>
      </c>
      <c r="EZ36" s="45"/>
      <c r="FA36" s="27">
        <v>67.228999999999999</v>
      </c>
      <c r="FB36" s="28">
        <v>81.316000000000003</v>
      </c>
      <c r="FC36" s="42">
        <f t="shared" si="59"/>
        <v>148.54500000000002</v>
      </c>
      <c r="FE36" s="27">
        <f>CB36</f>
        <v>27.035</v>
      </c>
      <c r="FF36" s="28">
        <f>CC36</f>
        <v>6.7270000000000003</v>
      </c>
      <c r="FG36" s="42">
        <f t="shared" si="60"/>
        <v>33.762</v>
      </c>
      <c r="FI36" s="53">
        <v>5987.85</v>
      </c>
      <c r="FJ36" s="54">
        <v>520.78099999999995</v>
      </c>
      <c r="FK36" s="55">
        <v>143.38300000000001</v>
      </c>
      <c r="FL36" s="56">
        <f t="shared" si="61"/>
        <v>6652.0140000000001</v>
      </c>
      <c r="FM36" s="57">
        <f t="shared" si="62"/>
        <v>0.90015595276859017</v>
      </c>
      <c r="FN36" s="58">
        <f t="shared" si="63"/>
        <v>7.8289221880771739E-2</v>
      </c>
      <c r="FO36" s="59">
        <f t="shared" si="64"/>
        <v>2.1554825350638167E-2</v>
      </c>
      <c r="FP36" s="61">
        <f t="shared" si="65"/>
        <v>1</v>
      </c>
      <c r="FR36" s="24">
        <f>FV36*E36</f>
        <v>5676.4080000000004</v>
      </c>
      <c r="FS36" s="25">
        <f>E36*FW36</f>
        <v>973.23199999999974</v>
      </c>
      <c r="FT36" s="26">
        <f t="shared" si="66"/>
        <v>6649.64</v>
      </c>
      <c r="FV36" s="36">
        <v>0.85364140013594725</v>
      </c>
      <c r="FW36" s="33">
        <v>0.14635859986405275</v>
      </c>
      <c r="FX36" s="34">
        <f t="shared" si="67"/>
        <v>1</v>
      </c>
      <c r="FY36" s="45"/>
      <c r="FZ36" s="44">
        <f t="shared" si="68"/>
        <v>1169.6199999999999</v>
      </c>
      <c r="GA36" s="25">
        <v>1119.9770000000001</v>
      </c>
      <c r="GB36" s="26">
        <v>1219.2629999999999</v>
      </c>
      <c r="GD36" s="44">
        <f t="shared" si="69"/>
        <v>6609.9170000000004</v>
      </c>
      <c r="GE36" s="25">
        <v>6570.1940000000004</v>
      </c>
      <c r="GF36" s="26">
        <v>6649.64</v>
      </c>
      <c r="GH36" s="44">
        <f t="shared" si="70"/>
        <v>897.78449999999998</v>
      </c>
      <c r="GI36" s="25">
        <v>862.42200000000003</v>
      </c>
      <c r="GJ36" s="26">
        <f>F36</f>
        <v>933.14700000000005</v>
      </c>
      <c r="GL36" s="44">
        <f t="shared" si="71"/>
        <v>7507.7015000000001</v>
      </c>
      <c r="GM36" s="45">
        <f t="shared" si="72"/>
        <v>7432.616</v>
      </c>
      <c r="GN36" s="46">
        <f t="shared" si="73"/>
        <v>7582.7870000000003</v>
      </c>
      <c r="GP36" s="44">
        <f t="shared" si="74"/>
        <v>6270.9310000000005</v>
      </c>
      <c r="GQ36" s="25">
        <v>6160.299</v>
      </c>
      <c r="GR36" s="26">
        <f>G36</f>
        <v>6381.5630000000001</v>
      </c>
      <c r="GS36" s="25"/>
      <c r="GT36" s="44">
        <f t="shared" si="75"/>
        <v>8268.8765000000003</v>
      </c>
      <c r="GU36" s="25">
        <v>8094.8590000000004</v>
      </c>
      <c r="GV36" s="26">
        <f>C36</f>
        <v>8442.8940000000002</v>
      </c>
      <c r="GW36" s="25"/>
      <c r="GX36" s="61">
        <f>DX36/C36</f>
        <v>0.46935422853822395</v>
      </c>
      <c r="GY36" s="62"/>
    </row>
    <row r="37" spans="1:207" s="1" customFormat="1" x14ac:dyDescent="0.25">
      <c r="B37" s="23" t="s">
        <v>208</v>
      </c>
      <c r="C37" s="24">
        <v>2584.4859999999999</v>
      </c>
      <c r="D37" s="25">
        <f t="shared" si="0"/>
        <v>2588.6790000000001</v>
      </c>
      <c r="E37" s="25">
        <v>2035.9839999999999</v>
      </c>
      <c r="F37" s="25">
        <v>608.69899999999996</v>
      </c>
      <c r="G37" s="25">
        <v>1730.434</v>
      </c>
      <c r="H37" s="25">
        <f t="shared" si="1"/>
        <v>3193.1849999999999</v>
      </c>
      <c r="I37" s="26">
        <f t="shared" si="2"/>
        <v>2644.683</v>
      </c>
      <c r="J37" s="25"/>
      <c r="K37" s="27">
        <v>35.192</v>
      </c>
      <c r="L37" s="28">
        <v>6.524</v>
      </c>
      <c r="M37" s="28">
        <v>4.0000000000000001E-3</v>
      </c>
      <c r="N37" s="29">
        <f t="shared" si="3"/>
        <v>41.72</v>
      </c>
      <c r="O37" s="28">
        <v>21.082000000000001</v>
      </c>
      <c r="P37" s="29">
        <f t="shared" si="4"/>
        <v>20.637999999999998</v>
      </c>
      <c r="Q37" s="28">
        <v>6.5380000000000003</v>
      </c>
      <c r="R37" s="29">
        <f t="shared" si="5"/>
        <v>14.099999999999998</v>
      </c>
      <c r="S37" s="28">
        <v>3.7490000000000001</v>
      </c>
      <c r="T37" s="28">
        <v>-0.16400000000000003</v>
      </c>
      <c r="U37" s="28">
        <v>0</v>
      </c>
      <c r="V37" s="29">
        <f t="shared" si="6"/>
        <v>17.684999999999995</v>
      </c>
      <c r="W37" s="28">
        <v>4</v>
      </c>
      <c r="X37" s="30">
        <f t="shared" si="7"/>
        <v>13.684999999999995</v>
      </c>
      <c r="Y37" s="28"/>
      <c r="Z37" s="31">
        <f t="shared" si="8"/>
        <v>2.7189157095182524E-2</v>
      </c>
      <c r="AA37" s="32">
        <f t="shared" si="9"/>
        <v>5.0404086408550458E-3</v>
      </c>
      <c r="AB37" s="33">
        <f t="shared" si="10"/>
        <v>0.46533495199205388</v>
      </c>
      <c r="AC37" s="33">
        <f t="shared" si="11"/>
        <v>0.4636565572148057</v>
      </c>
      <c r="AD37" s="33">
        <f t="shared" si="12"/>
        <v>0.50532118887823585</v>
      </c>
      <c r="AE37" s="32">
        <f t="shared" si="13"/>
        <v>1.6287844108906512E-2</v>
      </c>
      <c r="AF37" s="32">
        <f t="shared" si="14"/>
        <v>1.0572960185484561E-2</v>
      </c>
      <c r="AG37" s="32">
        <f>X37/DV37*2</f>
        <v>2.118107926769339E-2</v>
      </c>
      <c r="AH37" s="32">
        <f>(P37+S37+T37)/DV37*2</f>
        <v>3.7491361571160911E-2</v>
      </c>
      <c r="AI37" s="32">
        <f>R37/DV37*2</f>
        <v>2.1823399172413362E-2</v>
      </c>
      <c r="AJ37" s="34">
        <f>X37/FZ37*2</f>
        <v>7.9283005860048231E-2</v>
      </c>
      <c r="AK37" s="35"/>
      <c r="AL37" s="36">
        <f t="shared" si="15"/>
        <v>2.4544474184647846E-2</v>
      </c>
      <c r="AM37" s="33">
        <f t="shared" si="16"/>
        <v>1.5026105992941111E-2</v>
      </c>
      <c r="AN37" s="34">
        <f t="shared" si="17"/>
        <v>1.3532240398751292E-2</v>
      </c>
      <c r="AO37" s="28"/>
      <c r="AP37" s="36">
        <f t="shared" si="18"/>
        <v>0.84992514675950304</v>
      </c>
      <c r="AQ37" s="33">
        <f t="shared" si="19"/>
        <v>0.78543488108411852</v>
      </c>
      <c r="AR37" s="33">
        <f t="shared" si="20"/>
        <v>1.1323426785828988E-2</v>
      </c>
      <c r="AS37" s="33">
        <f t="shared" si="21"/>
        <v>0.27347468703641653</v>
      </c>
      <c r="AT37" s="33">
        <f t="shared" si="22"/>
        <v>0.17158334848786183</v>
      </c>
      <c r="AU37" s="37">
        <v>5.32</v>
      </c>
      <c r="AV37" s="38">
        <v>1.41226945005351</v>
      </c>
      <c r="AW37" s="28"/>
      <c r="AX37" s="36">
        <f>GB37/C37</f>
        <v>0.13777787923788329</v>
      </c>
      <c r="AY37" s="33">
        <v>0.13439999999999999</v>
      </c>
      <c r="AZ37" s="33">
        <f t="shared" si="23"/>
        <v>0.27025489862782831</v>
      </c>
      <c r="BA37" s="33">
        <f t="shared" si="24"/>
        <v>0.29442277838779296</v>
      </c>
      <c r="BB37" s="34">
        <f t="shared" si="25"/>
        <v>0.32664661806774575</v>
      </c>
      <c r="BC37" s="33"/>
      <c r="BD37" s="36">
        <f t="shared" si="26"/>
        <v>0.23690167889495484</v>
      </c>
      <c r="BE37" s="33">
        <f t="shared" si="27"/>
        <v>0.26083842008863883</v>
      </c>
      <c r="BF37" s="34">
        <f t="shared" si="28"/>
        <v>0.29287311040177988</v>
      </c>
      <c r="BG37" s="25"/>
      <c r="BH37" s="39">
        <v>2.5999999999999999E-2</v>
      </c>
      <c r="BI37" s="36">
        <f t="shared" si="29"/>
        <v>1.4624999999999999E-2</v>
      </c>
      <c r="BJ37" s="34">
        <f t="shared" si="30"/>
        <v>1.95E-2</v>
      </c>
      <c r="BK37" s="39">
        <v>1.4999999999999999E-2</v>
      </c>
      <c r="BL37" s="33"/>
      <c r="BM37" s="39">
        <f t="shared" si="31"/>
        <v>8.2276678894954824E-2</v>
      </c>
      <c r="BN37" s="34">
        <f t="shared" si="32"/>
        <v>8.6338420088638845E-2</v>
      </c>
      <c r="BO37" s="34">
        <f t="shared" si="33"/>
        <v>9.1873110401779867E-2</v>
      </c>
      <c r="BP37" s="28"/>
      <c r="BQ37" s="31">
        <f>Q37/GD37*2</f>
        <v>6.5003095799778931E-3</v>
      </c>
      <c r="BR37" s="33">
        <f t="shared" si="34"/>
        <v>0.26990876439747352</v>
      </c>
      <c r="BS37" s="32">
        <f>FC37/E37</f>
        <v>4.2750335955488848E-2</v>
      </c>
      <c r="BT37" s="33">
        <f t="shared" si="35"/>
        <v>0.23098418865340828</v>
      </c>
      <c r="BU37" s="33">
        <f t="shared" si="36"/>
        <v>0.71798697828666636</v>
      </c>
      <c r="BV37" s="34">
        <f t="shared" si="37"/>
        <v>0.78289496321487306</v>
      </c>
      <c r="BW37" s="28"/>
      <c r="BX37" s="27">
        <v>61.796999999999997</v>
      </c>
      <c r="BY37" s="28">
        <v>59.362000000000002</v>
      </c>
      <c r="BZ37" s="29">
        <f t="shared" si="38"/>
        <v>121.15899999999999</v>
      </c>
      <c r="CA37" s="25">
        <v>2035.9839999999999</v>
      </c>
      <c r="CB37" s="28">
        <v>15.394</v>
      </c>
      <c r="CC37" s="28">
        <v>5.3390000000000004</v>
      </c>
      <c r="CD37" s="29">
        <f t="shared" si="39"/>
        <v>2015.251</v>
      </c>
      <c r="CE37" s="28">
        <v>315.863</v>
      </c>
      <c r="CF37" s="28">
        <v>112.962</v>
      </c>
      <c r="CG37" s="29">
        <f t="shared" si="40"/>
        <v>428.82499999999999</v>
      </c>
      <c r="CH37" s="28">
        <v>0</v>
      </c>
      <c r="CI37" s="28">
        <v>1.665</v>
      </c>
      <c r="CJ37" s="28">
        <v>16.896999999999998</v>
      </c>
      <c r="CK37" s="28">
        <v>0.68899999999980821</v>
      </c>
      <c r="CL37" s="29">
        <f t="shared" si="41"/>
        <v>2584.4859999999994</v>
      </c>
      <c r="CM37" s="28">
        <v>51.046999999999997</v>
      </c>
      <c r="CN37" s="25">
        <v>1730.434</v>
      </c>
      <c r="CO37" s="29">
        <f t="shared" si="42"/>
        <v>1781.481</v>
      </c>
      <c r="CP37" s="28">
        <v>351.39499999999998</v>
      </c>
      <c r="CQ37" s="28">
        <v>25.2469999999999</v>
      </c>
      <c r="CR37" s="29">
        <f t="shared" si="43"/>
        <v>376.64199999999988</v>
      </c>
      <c r="CS37" s="28">
        <v>70.277999999999992</v>
      </c>
      <c r="CT37" s="28">
        <v>356.08499999999998</v>
      </c>
      <c r="CU37" s="42">
        <f t="shared" si="44"/>
        <v>2584.4859999999999</v>
      </c>
      <c r="CV37" s="28"/>
      <c r="CW37" s="43">
        <v>443.45476200000002</v>
      </c>
      <c r="CX37" s="28"/>
      <c r="CY37" s="24">
        <v>175</v>
      </c>
      <c r="CZ37" s="25">
        <v>100</v>
      </c>
      <c r="DA37" s="25">
        <v>40</v>
      </c>
      <c r="DB37" s="25">
        <v>105</v>
      </c>
      <c r="DC37" s="25">
        <v>50</v>
      </c>
      <c r="DD37" s="25">
        <v>0</v>
      </c>
      <c r="DE37" s="26">
        <f t="shared" si="45"/>
        <v>470</v>
      </c>
      <c r="DF37" s="34">
        <f t="shared" si="46"/>
        <v>0.18185434163698314</v>
      </c>
      <c r="DG37" s="68"/>
      <c r="DH37" s="44" t="s">
        <v>234</v>
      </c>
      <c r="DI37" s="45">
        <v>16.399999999999999</v>
      </c>
      <c r="DJ37" s="46">
        <v>3</v>
      </c>
      <c r="DK37" s="45" t="s">
        <v>168</v>
      </c>
      <c r="DL37" s="44"/>
      <c r="DM37" s="48" t="s">
        <v>170</v>
      </c>
      <c r="DN37" s="39">
        <v>0.11204814562437092</v>
      </c>
      <c r="DO37" s="36"/>
      <c r="DP37" s="34"/>
      <c r="DQ37" s="25"/>
      <c r="DR37" s="24">
        <v>335.47199999999998</v>
      </c>
      <c r="DS37" s="25">
        <v>365.47199999999998</v>
      </c>
      <c r="DT37" s="26">
        <v>405.47199999999998</v>
      </c>
      <c r="DU37" s="25"/>
      <c r="DV37" s="44">
        <f t="shared" si="47"/>
        <v>1292.191</v>
      </c>
      <c r="DW37" s="25">
        <v>1343.0650000000001</v>
      </c>
      <c r="DX37" s="26">
        <v>1241.317</v>
      </c>
      <c r="DY37" s="25"/>
      <c r="DZ37" s="24">
        <v>334.35</v>
      </c>
      <c r="EA37" s="25">
        <v>368.13299999999998</v>
      </c>
      <c r="EB37" s="25">
        <v>413.34500000000003</v>
      </c>
      <c r="EC37" s="26">
        <v>1411.345</v>
      </c>
      <c r="ED37" s="25"/>
      <c r="EE37" s="24">
        <v>132.29</v>
      </c>
      <c r="EF37" s="25">
        <v>14.384</v>
      </c>
      <c r="EG37" s="25">
        <v>190.26999999999998</v>
      </c>
      <c r="EH37" s="25">
        <v>29.923000000000002</v>
      </c>
      <c r="EI37" s="25">
        <v>186.11099999999999</v>
      </c>
      <c r="EJ37" s="25">
        <v>29.183</v>
      </c>
      <c r="EK37" s="25">
        <v>13.244999999999999</v>
      </c>
      <c r="EL37" s="25">
        <v>0</v>
      </c>
      <c r="EM37" s="26">
        <v>1391.104</v>
      </c>
      <c r="EN37" s="26">
        <f t="shared" si="48"/>
        <v>1986.51</v>
      </c>
      <c r="EO37" s="45"/>
      <c r="EP37" s="36">
        <f t="shared" si="49"/>
        <v>6.6594177728780624E-2</v>
      </c>
      <c r="EQ37" s="33">
        <f t="shared" si="50"/>
        <v>7.2408394621723531E-3</v>
      </c>
      <c r="ER37" s="33">
        <f t="shared" si="51"/>
        <v>9.5781043135951982E-2</v>
      </c>
      <c r="ES37" s="33">
        <f t="shared" si="52"/>
        <v>1.5063100613638997E-2</v>
      </c>
      <c r="ET37" s="33">
        <f t="shared" si="53"/>
        <v>9.3687421659090567E-2</v>
      </c>
      <c r="EU37" s="33">
        <f t="shared" si="54"/>
        <v>1.469058801616906E-2</v>
      </c>
      <c r="EV37" s="33">
        <f t="shared" si="55"/>
        <v>6.6674720993098449E-3</v>
      </c>
      <c r="EW37" s="33">
        <f t="shared" si="56"/>
        <v>0</v>
      </c>
      <c r="EX37" s="33">
        <f t="shared" si="57"/>
        <v>0.70027535728488655</v>
      </c>
      <c r="EY37" s="39">
        <f t="shared" si="58"/>
        <v>1</v>
      </c>
      <c r="EZ37" s="45"/>
      <c r="FA37" s="27">
        <v>46.804000000000002</v>
      </c>
      <c r="FB37" s="28">
        <v>40.234999999999999</v>
      </c>
      <c r="FC37" s="42">
        <f t="shared" si="59"/>
        <v>87.039000000000001</v>
      </c>
      <c r="FE37" s="27">
        <f>CB37</f>
        <v>15.394</v>
      </c>
      <c r="FF37" s="28">
        <f>CC37</f>
        <v>5.3390000000000004</v>
      </c>
      <c r="FG37" s="42">
        <f t="shared" si="60"/>
        <v>20.733000000000001</v>
      </c>
      <c r="FI37" s="53">
        <v>1648.4839999999999</v>
      </c>
      <c r="FJ37" s="54">
        <v>301.45800000000003</v>
      </c>
      <c r="FK37" s="55">
        <v>86.042000000000002</v>
      </c>
      <c r="FL37" s="56">
        <f t="shared" si="61"/>
        <v>2035.9839999999999</v>
      </c>
      <c r="FM37" s="57">
        <f t="shared" si="62"/>
        <v>0.80967433928753862</v>
      </c>
      <c r="FN37" s="58">
        <f t="shared" si="63"/>
        <v>0.1480650142633734</v>
      </c>
      <c r="FO37" s="59">
        <f t="shared" si="64"/>
        <v>4.2260646449088009E-2</v>
      </c>
      <c r="FP37" s="61">
        <f t="shared" si="65"/>
        <v>1</v>
      </c>
      <c r="FR37" s="24">
        <f>FV37*E37</f>
        <v>1461.81</v>
      </c>
      <c r="FS37" s="25">
        <f>E37*FW37</f>
        <v>574.17399999999986</v>
      </c>
      <c r="FT37" s="26">
        <f t="shared" si="66"/>
        <v>2035.9839999999999</v>
      </c>
      <c r="FV37" s="36">
        <v>0.71798697828666636</v>
      </c>
      <c r="FW37" s="33">
        <v>0.28201302171333364</v>
      </c>
      <c r="FX37" s="34">
        <f t="shared" si="67"/>
        <v>1</v>
      </c>
      <c r="FY37" s="45"/>
      <c r="FZ37" s="44">
        <f t="shared" si="68"/>
        <v>345.21899999999999</v>
      </c>
      <c r="GA37" s="25">
        <v>334.35300000000001</v>
      </c>
      <c r="GB37" s="26">
        <v>356.08499999999998</v>
      </c>
      <c r="GD37" s="44">
        <f t="shared" si="69"/>
        <v>2011.5965000000001</v>
      </c>
      <c r="GE37" s="25">
        <v>1987.2090000000001</v>
      </c>
      <c r="GF37" s="26">
        <v>2035.9839999999999</v>
      </c>
      <c r="GH37" s="44">
        <f t="shared" si="70"/>
        <v>613.51099999999997</v>
      </c>
      <c r="GI37" s="25">
        <v>618.32299999999998</v>
      </c>
      <c r="GJ37" s="26">
        <f>F37</f>
        <v>608.69899999999996</v>
      </c>
      <c r="GL37" s="44">
        <f t="shared" si="71"/>
        <v>2625.1075000000001</v>
      </c>
      <c r="GM37" s="45">
        <f t="shared" si="72"/>
        <v>2605.5320000000002</v>
      </c>
      <c r="GN37" s="46">
        <f t="shared" si="73"/>
        <v>2644.683</v>
      </c>
      <c r="GP37" s="44">
        <f t="shared" si="74"/>
        <v>1718.8820000000001</v>
      </c>
      <c r="GQ37" s="25">
        <v>1707.33</v>
      </c>
      <c r="GR37" s="26">
        <f>G37</f>
        <v>1730.434</v>
      </c>
      <c r="GS37" s="25"/>
      <c r="GT37" s="44">
        <f t="shared" si="75"/>
        <v>2588.6790000000001</v>
      </c>
      <c r="GU37" s="25">
        <v>2592.8719999999998</v>
      </c>
      <c r="GV37" s="26">
        <f>C37</f>
        <v>2584.4859999999999</v>
      </c>
      <c r="GW37" s="25"/>
      <c r="GX37" s="61">
        <f>DX37/C37</f>
        <v>0.48029550169743618</v>
      </c>
      <c r="GY37" s="62"/>
    </row>
    <row r="38" spans="1:207" x14ac:dyDescent="0.25">
      <c r="A38" s="1"/>
      <c r="B38" s="124" t="s">
        <v>209</v>
      </c>
      <c r="C38" s="24">
        <v>8769.7049999999999</v>
      </c>
      <c r="D38" s="25">
        <f t="shared" si="0"/>
        <v>8465.2904999999992</v>
      </c>
      <c r="E38" s="25">
        <v>6550.08</v>
      </c>
      <c r="F38" s="25">
        <v>3756.759</v>
      </c>
      <c r="G38" s="25">
        <v>6123.8890000000001</v>
      </c>
      <c r="H38" s="25">
        <f t="shared" si="1"/>
        <v>12526.464</v>
      </c>
      <c r="I38" s="26">
        <f t="shared" si="2"/>
        <v>10306.839</v>
      </c>
      <c r="J38" s="25"/>
      <c r="K38" s="27">
        <v>108.13200000000001</v>
      </c>
      <c r="L38" s="28">
        <v>26.621000000000002</v>
      </c>
      <c r="M38" s="28">
        <v>0</v>
      </c>
      <c r="N38" s="29">
        <f t="shared" si="3"/>
        <v>134.75300000000001</v>
      </c>
      <c r="O38" s="28">
        <v>53.629999999999995</v>
      </c>
      <c r="P38" s="29">
        <f t="shared" si="4"/>
        <v>81.123000000000019</v>
      </c>
      <c r="Q38" s="28">
        <v>-0.23600000000000021</v>
      </c>
      <c r="R38" s="29">
        <f t="shared" si="5"/>
        <v>81.359000000000023</v>
      </c>
      <c r="S38" s="28">
        <v>18.106999999999999</v>
      </c>
      <c r="T38" s="28">
        <v>0.93599999999999994</v>
      </c>
      <c r="U38" s="28">
        <v>-1.5</v>
      </c>
      <c r="V38" s="29">
        <f t="shared" si="6"/>
        <v>98.902000000000015</v>
      </c>
      <c r="W38" s="28">
        <v>20.238</v>
      </c>
      <c r="X38" s="30">
        <f t="shared" si="7"/>
        <v>78.664000000000016</v>
      </c>
      <c r="Y38" s="28"/>
      <c r="Z38" s="31">
        <f t="shared" si="8"/>
        <v>2.5547144542765549E-2</v>
      </c>
      <c r="AA38" s="32">
        <f t="shared" si="9"/>
        <v>6.2894474796818855E-3</v>
      </c>
      <c r="AB38" s="33">
        <f t="shared" si="10"/>
        <v>0.34870867902936348</v>
      </c>
      <c r="AC38" s="33">
        <f t="shared" si="11"/>
        <v>0.35084390945963623</v>
      </c>
      <c r="AD38" s="33">
        <f t="shared" si="12"/>
        <v>0.39798742885130567</v>
      </c>
      <c r="AE38" s="32">
        <f t="shared" si="13"/>
        <v>1.2670563402401844E-2</v>
      </c>
      <c r="AF38" s="32">
        <f t="shared" si="14"/>
        <v>1.8585068049348105E-2</v>
      </c>
      <c r="AG38" s="32">
        <f>X38/DV38*2</f>
        <v>3.7750947834859772E-2</v>
      </c>
      <c r="AH38" s="32">
        <f>(P38+S38+T38)/DV38*2</f>
        <v>4.8069783392995065E-2</v>
      </c>
      <c r="AI38" s="32">
        <f>R38/DV38*2</f>
        <v>3.9044281563311758E-2</v>
      </c>
      <c r="AJ38" s="34">
        <f>X38/FZ38*2</f>
        <v>0.11258804439029541</v>
      </c>
      <c r="AK38" s="35"/>
      <c r="AL38" s="36">
        <f t="shared" si="15"/>
        <v>6.5482796892341807E-2</v>
      </c>
      <c r="AM38" s="33">
        <f t="shared" si="16"/>
        <v>8.9047133855144428E-2</v>
      </c>
      <c r="AN38" s="34">
        <f t="shared" si="17"/>
        <v>8.8816035115842656E-2</v>
      </c>
      <c r="AO38" s="28"/>
      <c r="AP38" s="36">
        <f t="shared" si="18"/>
        <v>0.93493346646147835</v>
      </c>
      <c r="AQ38" s="33">
        <f t="shared" si="19"/>
        <v>0.84238329464774275</v>
      </c>
      <c r="AR38" s="33">
        <f t="shared" si="20"/>
        <v>-5.6998952644359217E-2</v>
      </c>
      <c r="AS38" s="33">
        <f t="shared" si="21"/>
        <v>0.34484723260360522</v>
      </c>
      <c r="AT38" s="33">
        <f t="shared" si="22"/>
        <v>0.18765659734278409</v>
      </c>
      <c r="AU38" s="37">
        <v>1.85</v>
      </c>
      <c r="AV38" s="38">
        <v>1.3657999999999999</v>
      </c>
      <c r="AW38" s="28"/>
      <c r="AX38" s="36">
        <f>GB38/C38</f>
        <v>0.1627722939369112</v>
      </c>
      <c r="AY38" s="33">
        <v>0.14030000000000001</v>
      </c>
      <c r="AZ38" s="33">
        <f t="shared" si="23"/>
        <v>0.31642163262734868</v>
      </c>
      <c r="BA38" s="33">
        <f t="shared" si="24"/>
        <v>0.31642163262734868</v>
      </c>
      <c r="BB38" s="34">
        <f t="shared" si="25"/>
        <v>0.31642163262734868</v>
      </c>
      <c r="BC38" s="33"/>
      <c r="BD38" s="36">
        <f t="shared" si="26"/>
        <v>0.2576087955995281</v>
      </c>
      <c r="BE38" s="33">
        <f t="shared" si="27"/>
        <v>0.26177707010874646</v>
      </c>
      <c r="BF38" s="34">
        <f t="shared" si="28"/>
        <v>0.26739200995906193</v>
      </c>
      <c r="BG38" s="25"/>
      <c r="BH38" s="39">
        <v>1.7999999999999999E-2</v>
      </c>
      <c r="BI38" s="36">
        <f t="shared" si="29"/>
        <v>1.0124999999999999E-2</v>
      </c>
      <c r="BJ38" s="34">
        <f t="shared" si="30"/>
        <v>1.3499999999999998E-2</v>
      </c>
      <c r="BK38" s="65">
        <v>1.2500000000000001E-2</v>
      </c>
      <c r="BL38" s="33"/>
      <c r="BM38" s="39">
        <f t="shared" si="31"/>
        <v>0.10748379559952809</v>
      </c>
      <c r="BN38" s="34">
        <f t="shared" si="32"/>
        <v>9.3277070108746474E-2</v>
      </c>
      <c r="BO38" s="34">
        <f t="shared" si="33"/>
        <v>7.4392009959061922E-2</v>
      </c>
      <c r="BP38" s="28"/>
      <c r="BQ38" s="31">
        <f>Q38/GD38*2</f>
        <v>-7.4344740499447098E-5</v>
      </c>
      <c r="BR38" s="33">
        <f t="shared" si="34"/>
        <v>-2.3560888924385537E-3</v>
      </c>
      <c r="BS38" s="32">
        <f>FC38/E38</f>
        <v>1.131543431530607E-2</v>
      </c>
      <c r="BT38" s="33">
        <f t="shared" si="35"/>
        <v>5.1176230951410988E-2</v>
      </c>
      <c r="BU38" s="33">
        <f t="shared" si="36"/>
        <v>0.68623436660315607</v>
      </c>
      <c r="BV38" s="34">
        <f t="shared" si="37"/>
        <v>0.80059938842549117</v>
      </c>
      <c r="BW38" s="28"/>
      <c r="BX38" s="27">
        <v>61.756</v>
      </c>
      <c r="BY38" s="28">
        <v>246.815</v>
      </c>
      <c r="BZ38" s="29">
        <f t="shared" si="38"/>
        <v>308.57100000000003</v>
      </c>
      <c r="CA38" s="25">
        <v>6550.08</v>
      </c>
      <c r="CB38" s="28">
        <v>13.199</v>
      </c>
      <c r="CC38" s="28">
        <v>7.6059999999999999</v>
      </c>
      <c r="CD38" s="29">
        <f t="shared" si="39"/>
        <v>6529.2750000000005</v>
      </c>
      <c r="CE38" s="28">
        <v>1337.1220000000001</v>
      </c>
      <c r="CF38" s="28">
        <v>474.245</v>
      </c>
      <c r="CG38" s="29">
        <f t="shared" si="40"/>
        <v>1811.3670000000002</v>
      </c>
      <c r="CH38" s="28">
        <v>35.457000000000001</v>
      </c>
      <c r="CI38" s="28">
        <v>0</v>
      </c>
      <c r="CJ38" s="28">
        <v>75.287999999999997</v>
      </c>
      <c r="CK38" s="28">
        <v>9.7469999999992893</v>
      </c>
      <c r="CL38" s="29">
        <f t="shared" si="41"/>
        <v>8769.7049999999999</v>
      </c>
      <c r="CM38" s="28">
        <v>41.042000000000002</v>
      </c>
      <c r="CN38" s="25">
        <v>6123.8890000000001</v>
      </c>
      <c r="CO38" s="29">
        <f t="shared" si="42"/>
        <v>6164.9310000000005</v>
      </c>
      <c r="CP38" s="28">
        <v>1104.787</v>
      </c>
      <c r="CQ38" s="28">
        <v>72.52199999999948</v>
      </c>
      <c r="CR38" s="29">
        <f t="shared" si="43"/>
        <v>1177.3089999999995</v>
      </c>
      <c r="CS38" s="28">
        <v>0</v>
      </c>
      <c r="CT38" s="28">
        <v>1427.4649999999999</v>
      </c>
      <c r="CU38" s="42">
        <f t="shared" si="44"/>
        <v>8769.7049999999999</v>
      </c>
      <c r="CV38" s="28"/>
      <c r="CW38" s="43">
        <v>1645.6930000000002</v>
      </c>
      <c r="CX38" s="28"/>
      <c r="CY38" s="24">
        <v>40</v>
      </c>
      <c r="CZ38" s="25">
        <v>150</v>
      </c>
      <c r="DA38" s="25">
        <v>200</v>
      </c>
      <c r="DB38" s="25">
        <v>350</v>
      </c>
      <c r="DC38" s="25">
        <v>400</v>
      </c>
      <c r="DD38" s="25">
        <v>0</v>
      </c>
      <c r="DE38" s="26">
        <f t="shared" si="45"/>
        <v>1140</v>
      </c>
      <c r="DF38" s="34">
        <f t="shared" si="46"/>
        <v>0.12999297011701078</v>
      </c>
      <c r="DG38" s="68"/>
      <c r="DH38" s="44" t="s">
        <v>234</v>
      </c>
      <c r="DI38" s="45">
        <v>49.4</v>
      </c>
      <c r="DJ38" s="46">
        <v>4</v>
      </c>
      <c r="DK38" s="45" t="s">
        <v>168</v>
      </c>
      <c r="DL38" s="47" t="s">
        <v>169</v>
      </c>
      <c r="DM38" s="45"/>
      <c r="DN38" s="39" t="s">
        <v>224</v>
      </c>
      <c r="DO38" s="66" t="s">
        <v>178</v>
      </c>
      <c r="DP38" s="67" t="s">
        <v>174</v>
      </c>
      <c r="DQ38" s="25"/>
      <c r="DR38" s="24">
        <v>1316.002</v>
      </c>
      <c r="DS38" s="25">
        <v>1316.002</v>
      </c>
      <c r="DT38" s="26">
        <v>1316.002</v>
      </c>
      <c r="DU38" s="25"/>
      <c r="DV38" s="44">
        <f t="shared" si="47"/>
        <v>4167.5244999999995</v>
      </c>
      <c r="DW38" s="25">
        <v>4176.0349999999999</v>
      </c>
      <c r="DX38" s="26">
        <v>4159.0140000000001</v>
      </c>
      <c r="DY38" s="25"/>
      <c r="DZ38" s="24">
        <v>1311.135</v>
      </c>
      <c r="EA38" s="25">
        <v>1332.35</v>
      </c>
      <c r="EB38" s="25">
        <v>1360.9280000000001</v>
      </c>
      <c r="EC38" s="26">
        <v>5089.6360000000004</v>
      </c>
      <c r="ED38" s="25"/>
      <c r="EE38" s="24">
        <v>44.871000000000002</v>
      </c>
      <c r="EF38" s="25">
        <v>85.888999999999996</v>
      </c>
      <c r="EG38" s="25">
        <v>373.428</v>
      </c>
      <c r="EH38" s="25">
        <v>101.968</v>
      </c>
      <c r="EI38" s="25">
        <v>1172.192</v>
      </c>
      <c r="EJ38" s="25">
        <v>150.197</v>
      </c>
      <c r="EK38" s="25">
        <v>114.608</v>
      </c>
      <c r="EL38" s="25">
        <v>4.0420000000007059</v>
      </c>
      <c r="EM38" s="26">
        <v>4427.7569999999996</v>
      </c>
      <c r="EN38" s="26">
        <f t="shared" si="48"/>
        <v>6474.9520000000002</v>
      </c>
      <c r="EO38" s="45"/>
      <c r="EP38" s="36">
        <f t="shared" si="49"/>
        <v>6.9299355423793106E-3</v>
      </c>
      <c r="EQ38" s="33">
        <f t="shared" si="50"/>
        <v>1.326480875842786E-2</v>
      </c>
      <c r="ER38" s="33">
        <f t="shared" si="51"/>
        <v>5.7672705527392322E-2</v>
      </c>
      <c r="ES38" s="33">
        <f t="shared" si="52"/>
        <v>1.5748070410406132E-2</v>
      </c>
      <c r="ET38" s="33">
        <f t="shared" si="53"/>
        <v>0.18103485554796389</v>
      </c>
      <c r="EU38" s="33">
        <f t="shared" si="54"/>
        <v>2.3196619835946272E-2</v>
      </c>
      <c r="EV38" s="33">
        <f t="shared" si="55"/>
        <v>1.7700208433977582E-2</v>
      </c>
      <c r="EW38" s="33">
        <f t="shared" si="56"/>
        <v>6.2425173190483972E-4</v>
      </c>
      <c r="EX38" s="33">
        <f t="shared" si="57"/>
        <v>0.68382854421160177</v>
      </c>
      <c r="EY38" s="39">
        <f t="shared" si="58"/>
        <v>0.99999999999999989</v>
      </c>
      <c r="EZ38" s="45"/>
      <c r="FA38" s="27">
        <v>36.772999999999996</v>
      </c>
      <c r="FB38" s="28">
        <v>37.344000000000001</v>
      </c>
      <c r="FC38" s="42">
        <f t="shared" si="59"/>
        <v>74.11699999999999</v>
      </c>
      <c r="FE38" s="27">
        <f>CB38</f>
        <v>13.199</v>
      </c>
      <c r="FF38" s="28">
        <f>CC38</f>
        <v>7.6059999999999999</v>
      </c>
      <c r="FG38" s="42">
        <f t="shared" si="60"/>
        <v>20.805</v>
      </c>
      <c r="FI38" s="53">
        <v>6000.509</v>
      </c>
      <c r="FJ38" s="54">
        <v>475.31200000000001</v>
      </c>
      <c r="FK38" s="55">
        <v>74.260999999999996</v>
      </c>
      <c r="FL38" s="56">
        <f t="shared" si="61"/>
        <v>6550.0820000000003</v>
      </c>
      <c r="FM38" s="57">
        <f t="shared" si="62"/>
        <v>0.91609677558235147</v>
      </c>
      <c r="FN38" s="58">
        <f t="shared" si="63"/>
        <v>7.2565809099794473E-2</v>
      </c>
      <c r="FO38" s="59">
        <f t="shared" si="64"/>
        <v>1.1337415317854035E-2</v>
      </c>
      <c r="FP38" s="61">
        <f t="shared" si="65"/>
        <v>1</v>
      </c>
      <c r="FR38" s="24">
        <f>FV38*E38</f>
        <v>4494.8900000000003</v>
      </c>
      <c r="FS38" s="25">
        <f>E38*FW38</f>
        <v>2055.1899999999996</v>
      </c>
      <c r="FT38" s="26">
        <f t="shared" si="66"/>
        <v>6550.08</v>
      </c>
      <c r="FV38" s="36">
        <v>0.68623436660315607</v>
      </c>
      <c r="FW38" s="33">
        <v>0.31376563339684393</v>
      </c>
      <c r="FX38" s="34">
        <f t="shared" si="67"/>
        <v>1</v>
      </c>
      <c r="FY38" s="45"/>
      <c r="FZ38" s="44">
        <f t="shared" si="68"/>
        <v>1397.3775000000001</v>
      </c>
      <c r="GA38" s="25">
        <v>1367.29</v>
      </c>
      <c r="GB38" s="26">
        <v>1427.4649999999999</v>
      </c>
      <c r="GD38" s="44">
        <f t="shared" si="69"/>
        <v>6348.8014999999996</v>
      </c>
      <c r="GE38" s="25">
        <v>6147.5230000000001</v>
      </c>
      <c r="GF38" s="26">
        <v>6550.08</v>
      </c>
      <c r="GH38" s="44">
        <f t="shared" si="70"/>
        <v>3536.6624999999999</v>
      </c>
      <c r="GI38" s="25">
        <v>3316.5659999999998</v>
      </c>
      <c r="GJ38" s="26">
        <f>F38</f>
        <v>3756.759</v>
      </c>
      <c r="GL38" s="44">
        <f t="shared" si="71"/>
        <v>9885.4639999999999</v>
      </c>
      <c r="GM38" s="45">
        <f t="shared" si="72"/>
        <v>9464.0889999999999</v>
      </c>
      <c r="GN38" s="46">
        <f t="shared" si="73"/>
        <v>10306.839</v>
      </c>
      <c r="GP38" s="44">
        <f t="shared" si="74"/>
        <v>5874.1224999999995</v>
      </c>
      <c r="GQ38" s="25">
        <v>5624.3559999999998</v>
      </c>
      <c r="GR38" s="26">
        <f>G38</f>
        <v>6123.8890000000001</v>
      </c>
      <c r="GS38" s="25"/>
      <c r="GT38" s="44">
        <f t="shared" si="75"/>
        <v>8465.2904999999992</v>
      </c>
      <c r="GU38" s="25">
        <v>8160.8760000000002</v>
      </c>
      <c r="GV38" s="26">
        <f>C38</f>
        <v>8769.7049999999999</v>
      </c>
      <c r="GW38" s="25"/>
      <c r="GX38" s="61">
        <f>DX38/C38</f>
        <v>0.47424787948967501</v>
      </c>
      <c r="GY38" s="62"/>
    </row>
    <row r="39" spans="1:207" x14ac:dyDescent="0.25">
      <c r="A39" s="1"/>
      <c r="B39" s="23" t="s">
        <v>210</v>
      </c>
      <c r="C39" s="24">
        <v>5000.1120000000001</v>
      </c>
      <c r="D39" s="25">
        <f t="shared" si="0"/>
        <v>4823.8135000000002</v>
      </c>
      <c r="E39" s="25">
        <v>3947.5880000000002</v>
      </c>
      <c r="F39" s="25">
        <v>1513.0650000000001</v>
      </c>
      <c r="G39" s="25">
        <v>3050.1379999999999</v>
      </c>
      <c r="H39" s="25">
        <f t="shared" si="1"/>
        <v>6513.1769999999997</v>
      </c>
      <c r="I39" s="26">
        <f t="shared" si="2"/>
        <v>5460.6530000000002</v>
      </c>
      <c r="J39" s="25"/>
      <c r="K39" s="27">
        <v>54.889000000000003</v>
      </c>
      <c r="L39" s="28">
        <v>11.443999999999999</v>
      </c>
      <c r="M39" s="28">
        <v>0.30199999999999999</v>
      </c>
      <c r="N39" s="29">
        <f t="shared" si="3"/>
        <v>66.635000000000005</v>
      </c>
      <c r="O39" s="28">
        <v>27.915999999999997</v>
      </c>
      <c r="P39" s="29">
        <f t="shared" si="4"/>
        <v>38.719000000000008</v>
      </c>
      <c r="Q39" s="28">
        <v>1.5349999999999999</v>
      </c>
      <c r="R39" s="29">
        <f t="shared" si="5"/>
        <v>37.184000000000012</v>
      </c>
      <c r="S39" s="28">
        <v>6.2629999999999999</v>
      </c>
      <c r="T39" s="28">
        <v>0.77499999999999991</v>
      </c>
      <c r="U39" s="28">
        <v>0</v>
      </c>
      <c r="V39" s="29">
        <f t="shared" si="6"/>
        <v>44.222000000000008</v>
      </c>
      <c r="W39" s="28">
        <v>11.1</v>
      </c>
      <c r="X39" s="30">
        <f t="shared" si="7"/>
        <v>33.122000000000007</v>
      </c>
      <c r="Y39" s="28"/>
      <c r="Z39" s="31">
        <f t="shared" si="8"/>
        <v>2.2757513324260983E-2</v>
      </c>
      <c r="AA39" s="32">
        <f t="shared" si="9"/>
        <v>4.7447937197406158E-3</v>
      </c>
      <c r="AB39" s="33">
        <f t="shared" si="10"/>
        <v>0.37891764961383401</v>
      </c>
      <c r="AC39" s="33">
        <f t="shared" si="11"/>
        <v>0.38294603418475121</v>
      </c>
      <c r="AD39" s="33">
        <f t="shared" si="12"/>
        <v>0.41893899602311091</v>
      </c>
      <c r="AE39" s="32">
        <f t="shared" si="13"/>
        <v>1.1574245148573839E-2</v>
      </c>
      <c r="AF39" s="32">
        <f t="shared" si="14"/>
        <v>1.3732703389133931E-2</v>
      </c>
      <c r="AG39" s="32">
        <f>X39/DV39*2</f>
        <v>2.8151249433736803E-2</v>
      </c>
      <c r="AH39" s="32">
        <f>(P39+S39+T39)/DV39*2</f>
        <v>3.8890064619874848E-2</v>
      </c>
      <c r="AI39" s="32">
        <f>R39/DV39*2</f>
        <v>3.1603648902363064E-2</v>
      </c>
      <c r="AJ39" s="34">
        <f>X39/FZ39*2</f>
        <v>9.5208597576092943E-2</v>
      </c>
      <c r="AK39" s="35"/>
      <c r="AL39" s="36">
        <f t="shared" si="15"/>
        <v>6.250227097227759E-2</v>
      </c>
      <c r="AM39" s="33">
        <f t="shared" si="16"/>
        <v>8.4830342691889257E-2</v>
      </c>
      <c r="AN39" s="34">
        <f t="shared" si="17"/>
        <v>2.5246042918601777E-3</v>
      </c>
      <c r="AO39" s="28"/>
      <c r="AP39" s="36">
        <f t="shared" si="18"/>
        <v>0.77265864624170499</v>
      </c>
      <c r="AQ39" s="33">
        <f t="shared" si="19"/>
        <v>0.71669100172890943</v>
      </c>
      <c r="AR39" s="33">
        <f t="shared" si="20"/>
        <v>8.8592415529892124E-2</v>
      </c>
      <c r="AS39" s="33">
        <f t="shared" si="21"/>
        <v>0.37244295727775695</v>
      </c>
      <c r="AT39" s="33">
        <f t="shared" si="22"/>
        <v>0.15254698294758195</v>
      </c>
      <c r="AU39" s="37">
        <v>5.27</v>
      </c>
      <c r="AV39" s="38">
        <v>1.45</v>
      </c>
      <c r="AW39" s="28"/>
      <c r="AX39" s="36">
        <f>GB39/C39</f>
        <v>0.144449564329759</v>
      </c>
      <c r="AY39" s="33">
        <v>0.13689999999999999</v>
      </c>
      <c r="AZ39" s="33">
        <f t="shared" si="23"/>
        <v>0.29461478245853029</v>
      </c>
      <c r="BA39" s="33">
        <f t="shared" si="24"/>
        <v>0.32091278617706798</v>
      </c>
      <c r="BB39" s="34">
        <f t="shared" si="25"/>
        <v>0.33844478865609312</v>
      </c>
      <c r="BC39" s="33"/>
      <c r="BD39" s="36">
        <f t="shared" si="26"/>
        <v>0.24947712117112969</v>
      </c>
      <c r="BE39" s="33">
        <f t="shared" si="27"/>
        <v>0.27510970421484188</v>
      </c>
      <c r="BF39" s="34">
        <f t="shared" si="28"/>
        <v>0.29446699805862192</v>
      </c>
      <c r="BG39" s="25"/>
      <c r="BH39" s="39">
        <v>2.9000000000000001E-2</v>
      </c>
      <c r="BI39" s="36">
        <f t="shared" si="29"/>
        <v>1.6312500000000001E-2</v>
      </c>
      <c r="BJ39" s="34">
        <f t="shared" si="30"/>
        <v>2.1750000000000002E-2</v>
      </c>
      <c r="BK39" s="39">
        <v>1.4999999999999999E-2</v>
      </c>
      <c r="BL39" s="33"/>
      <c r="BM39" s="39">
        <f t="shared" si="31"/>
        <v>9.3164621171129669E-2</v>
      </c>
      <c r="BN39" s="34">
        <f t="shared" si="32"/>
        <v>9.8359704214841887E-2</v>
      </c>
      <c r="BO39" s="34">
        <f t="shared" si="33"/>
        <v>9.0466998058621906E-2</v>
      </c>
      <c r="BP39" s="28"/>
      <c r="BQ39" s="31">
        <f>Q39/GD39*2</f>
        <v>8.0125726922387788E-4</v>
      </c>
      <c r="BR39" s="33">
        <f t="shared" si="34"/>
        <v>3.3546779727691933E-2</v>
      </c>
      <c r="BS39" s="32">
        <f>FC39/E39</f>
        <v>2.3595167479483675E-2</v>
      </c>
      <c r="BT39" s="33">
        <f t="shared" si="35"/>
        <v>0.12308196478690847</v>
      </c>
      <c r="BU39" s="33">
        <f t="shared" si="36"/>
        <v>0.76759150144341304</v>
      </c>
      <c r="BV39" s="34">
        <f t="shared" si="37"/>
        <v>0.83198840871229152</v>
      </c>
      <c r="BW39" s="28"/>
      <c r="BX39" s="27">
        <v>30.931999999999999</v>
      </c>
      <c r="BY39" s="28">
        <v>190.51499999999999</v>
      </c>
      <c r="BZ39" s="29">
        <f t="shared" si="38"/>
        <v>221.44699999999997</v>
      </c>
      <c r="CA39" s="25">
        <v>3947.5880000000002</v>
      </c>
      <c r="CB39" s="28">
        <v>17.893000000000001</v>
      </c>
      <c r="CC39" s="28">
        <v>16.606999999999999</v>
      </c>
      <c r="CD39" s="29">
        <f t="shared" si="39"/>
        <v>3913.0880000000002</v>
      </c>
      <c r="CE39" s="28">
        <v>541.30499999999995</v>
      </c>
      <c r="CF39" s="28">
        <v>284.404</v>
      </c>
      <c r="CG39" s="29">
        <f t="shared" si="40"/>
        <v>825.70899999999995</v>
      </c>
      <c r="CH39" s="28">
        <v>0</v>
      </c>
      <c r="CI39" s="28">
        <v>0</v>
      </c>
      <c r="CJ39" s="28">
        <v>38.389000000000003</v>
      </c>
      <c r="CK39" s="28">
        <v>1.4789999999998216</v>
      </c>
      <c r="CL39" s="29">
        <f t="shared" si="41"/>
        <v>5000.1120000000001</v>
      </c>
      <c r="CM39" s="28">
        <v>102.96299999999999</v>
      </c>
      <c r="CN39" s="25">
        <v>3050.1379999999999</v>
      </c>
      <c r="CO39" s="29">
        <f t="shared" si="42"/>
        <v>3153.1010000000001</v>
      </c>
      <c r="CP39" s="28">
        <v>1002.761</v>
      </c>
      <c r="CQ39" s="28">
        <v>21.98599999999999</v>
      </c>
      <c r="CR39" s="29">
        <f t="shared" si="43"/>
        <v>1024.7469999999998</v>
      </c>
      <c r="CS39" s="28">
        <v>100</v>
      </c>
      <c r="CT39" s="28">
        <v>722.26400000000001</v>
      </c>
      <c r="CU39" s="42">
        <f t="shared" si="44"/>
        <v>5000.1120000000001</v>
      </c>
      <c r="CV39" s="28"/>
      <c r="CW39" s="43">
        <v>762.75199999999995</v>
      </c>
      <c r="CX39" s="28"/>
      <c r="CY39" s="24">
        <v>200</v>
      </c>
      <c r="CZ39" s="25">
        <v>300</v>
      </c>
      <c r="DA39" s="25">
        <v>140</v>
      </c>
      <c r="DB39" s="25">
        <v>200</v>
      </c>
      <c r="DC39" s="25">
        <v>260</v>
      </c>
      <c r="DD39" s="25">
        <v>0</v>
      </c>
      <c r="DE39" s="26">
        <f t="shared" si="45"/>
        <v>1100</v>
      </c>
      <c r="DF39" s="34">
        <f t="shared" si="46"/>
        <v>0.21999507211038472</v>
      </c>
      <c r="DG39" s="68"/>
      <c r="DH39" s="44" t="s">
        <v>229</v>
      </c>
      <c r="DI39" s="45">
        <v>25</v>
      </c>
      <c r="DJ39" s="46">
        <v>1</v>
      </c>
      <c r="DK39" s="45" t="s">
        <v>168</v>
      </c>
      <c r="DL39" s="47" t="s">
        <v>169</v>
      </c>
      <c r="DM39" s="45"/>
      <c r="DN39" s="39" t="s">
        <v>224</v>
      </c>
      <c r="DO39" s="36"/>
      <c r="DP39" s="34"/>
      <c r="DQ39" s="25"/>
      <c r="DR39" s="24">
        <v>672.17600000000004</v>
      </c>
      <c r="DS39" s="25">
        <v>732.17600000000004</v>
      </c>
      <c r="DT39" s="26">
        <v>772.17600000000004</v>
      </c>
      <c r="DU39" s="25"/>
      <c r="DV39" s="44">
        <f t="shared" si="47"/>
        <v>2353.1459999999997</v>
      </c>
      <c r="DW39" s="25">
        <v>2424.75</v>
      </c>
      <c r="DX39" s="26">
        <v>2281.5419999999999</v>
      </c>
      <c r="DY39" s="25"/>
      <c r="DZ39" s="24">
        <v>671.31100000000004</v>
      </c>
      <c r="EA39" s="25">
        <v>740.28499999999997</v>
      </c>
      <c r="EB39" s="25">
        <v>792.37300000000005</v>
      </c>
      <c r="EC39" s="26">
        <v>2690.8719999999998</v>
      </c>
      <c r="ED39" s="25"/>
      <c r="EE39" s="24">
        <v>0.78</v>
      </c>
      <c r="EF39" s="25">
        <v>3.3140000000000001</v>
      </c>
      <c r="EG39" s="25">
        <v>392.66800000000001</v>
      </c>
      <c r="EH39" s="25">
        <v>18.872999999999998</v>
      </c>
      <c r="EI39" s="25">
        <v>417.54899999999998</v>
      </c>
      <c r="EJ39" s="25">
        <v>15.176</v>
      </c>
      <c r="EK39" s="25">
        <v>9.4039999999999999</v>
      </c>
      <c r="EL39" s="25">
        <v>0</v>
      </c>
      <c r="EM39" s="26">
        <v>2963.2179999999998</v>
      </c>
      <c r="EN39" s="26">
        <f t="shared" si="48"/>
        <v>3820.9819999999995</v>
      </c>
      <c r="EO39" s="45"/>
      <c r="EP39" s="36">
        <f t="shared" si="49"/>
        <v>2.0413600482807826E-4</v>
      </c>
      <c r="EQ39" s="33">
        <f t="shared" si="50"/>
        <v>8.6731630769262998E-4</v>
      </c>
      <c r="ER39" s="33">
        <f t="shared" si="51"/>
        <v>0.10276625223568184</v>
      </c>
      <c r="ES39" s="33">
        <f t="shared" si="52"/>
        <v>4.9393061783593855E-3</v>
      </c>
      <c r="ET39" s="33">
        <f t="shared" si="53"/>
        <v>0.10927792907687083</v>
      </c>
      <c r="EU39" s="33">
        <f t="shared" si="54"/>
        <v>3.9717538580396356E-3</v>
      </c>
      <c r="EV39" s="33">
        <f t="shared" si="55"/>
        <v>2.4611474223118564E-3</v>
      </c>
      <c r="EW39" s="33">
        <f t="shared" si="56"/>
        <v>0</v>
      </c>
      <c r="EX39" s="33">
        <f t="shared" si="57"/>
        <v>0.77551215891621583</v>
      </c>
      <c r="EY39" s="39">
        <f t="shared" si="58"/>
        <v>1.0000000000000002</v>
      </c>
      <c r="EZ39" s="45"/>
      <c r="FA39" s="27">
        <v>25.378999999999998</v>
      </c>
      <c r="FB39" s="28">
        <v>67.765000000000001</v>
      </c>
      <c r="FC39" s="42">
        <f t="shared" si="59"/>
        <v>93.144000000000005</v>
      </c>
      <c r="FE39" s="27">
        <f>CB39</f>
        <v>17.893000000000001</v>
      </c>
      <c r="FF39" s="28">
        <f>CC39</f>
        <v>16.606999999999999</v>
      </c>
      <c r="FG39" s="42">
        <f t="shared" si="60"/>
        <v>34.5</v>
      </c>
      <c r="FI39" s="53">
        <v>3632.4</v>
      </c>
      <c r="FJ39" s="54">
        <v>224.464</v>
      </c>
      <c r="FK39" s="55">
        <v>90.724000000000004</v>
      </c>
      <c r="FL39" s="56">
        <f t="shared" si="61"/>
        <v>3947.5880000000002</v>
      </c>
      <c r="FM39" s="57">
        <f t="shared" si="62"/>
        <v>0.92015681474358513</v>
      </c>
      <c r="FN39" s="58">
        <f t="shared" si="63"/>
        <v>5.6861050342639601E-2</v>
      </c>
      <c r="FO39" s="59">
        <f t="shared" si="64"/>
        <v>2.2982134913775196E-2</v>
      </c>
      <c r="FP39" s="61">
        <f t="shared" si="65"/>
        <v>0.99999999999999989</v>
      </c>
      <c r="FR39" s="24">
        <f>FV39*E39</f>
        <v>3030.1350000000002</v>
      </c>
      <c r="FS39" s="25">
        <f>E39*FW39</f>
        <v>917.45300000000009</v>
      </c>
      <c r="FT39" s="26">
        <f t="shared" si="66"/>
        <v>3947.5880000000002</v>
      </c>
      <c r="FV39" s="36">
        <v>0.76759150144341304</v>
      </c>
      <c r="FW39" s="33">
        <v>0.23240849855658696</v>
      </c>
      <c r="FX39" s="34">
        <f t="shared" si="67"/>
        <v>1</v>
      </c>
      <c r="FY39" s="45"/>
      <c r="FZ39" s="44">
        <f t="shared" si="68"/>
        <v>695.77750000000003</v>
      </c>
      <c r="GA39" s="25">
        <v>669.29100000000005</v>
      </c>
      <c r="GB39" s="26">
        <v>722.26400000000001</v>
      </c>
      <c r="GD39" s="44">
        <f t="shared" si="69"/>
        <v>3831.4785000000002</v>
      </c>
      <c r="GE39" s="25">
        <v>3715.3690000000001</v>
      </c>
      <c r="GF39" s="26">
        <v>3947.5880000000002</v>
      </c>
      <c r="GH39" s="44">
        <f t="shared" si="70"/>
        <v>1415.6714999999999</v>
      </c>
      <c r="GI39" s="25">
        <v>1318.278</v>
      </c>
      <c r="GJ39" s="26">
        <f>F39</f>
        <v>1513.0650000000001</v>
      </c>
      <c r="GL39" s="44">
        <f t="shared" si="71"/>
        <v>5247.15</v>
      </c>
      <c r="GM39" s="45">
        <f t="shared" si="72"/>
        <v>5033.6469999999999</v>
      </c>
      <c r="GN39" s="46">
        <f t="shared" si="73"/>
        <v>5460.6530000000002</v>
      </c>
      <c r="GP39" s="44">
        <f t="shared" si="74"/>
        <v>3046.2974999999997</v>
      </c>
      <c r="GQ39" s="25">
        <v>3042.4569999999999</v>
      </c>
      <c r="GR39" s="26">
        <f>G39</f>
        <v>3050.1379999999999</v>
      </c>
      <c r="GS39" s="25"/>
      <c r="GT39" s="44">
        <f t="shared" si="75"/>
        <v>4823.8135000000002</v>
      </c>
      <c r="GU39" s="25">
        <v>4647.5150000000003</v>
      </c>
      <c r="GV39" s="26">
        <f>C39</f>
        <v>5000.1120000000001</v>
      </c>
      <c r="GW39" s="25"/>
      <c r="GX39" s="61">
        <f>DX39/C39</f>
        <v>0.45629817892079216</v>
      </c>
      <c r="GY39" s="62"/>
    </row>
    <row r="40" spans="1:207" x14ac:dyDescent="0.25">
      <c r="A40" s="1"/>
      <c r="B40" s="23" t="s">
        <v>211</v>
      </c>
      <c r="C40" s="24">
        <v>14052.92</v>
      </c>
      <c r="D40" s="25">
        <f t="shared" si="0"/>
        <v>13787.6695</v>
      </c>
      <c r="E40" s="25">
        <v>11571.947</v>
      </c>
      <c r="F40" s="25">
        <v>5174.0379999999996</v>
      </c>
      <c r="G40" s="25">
        <v>9587.3389999999999</v>
      </c>
      <c r="H40" s="25">
        <f t="shared" si="1"/>
        <v>19226.957999999999</v>
      </c>
      <c r="I40" s="26">
        <f t="shared" si="2"/>
        <v>16745.985000000001</v>
      </c>
      <c r="J40" s="25"/>
      <c r="K40" s="27">
        <v>168.11399999999998</v>
      </c>
      <c r="L40" s="28">
        <v>43.25</v>
      </c>
      <c r="M40" s="28">
        <v>0.16799999999999998</v>
      </c>
      <c r="N40" s="29">
        <f t="shared" si="3"/>
        <v>211.53199999999998</v>
      </c>
      <c r="O40" s="28">
        <v>112.29900000000001</v>
      </c>
      <c r="P40" s="29">
        <f t="shared" si="4"/>
        <v>99.232999999999976</v>
      </c>
      <c r="Q40" s="28">
        <v>21.306000000000001</v>
      </c>
      <c r="R40" s="29">
        <f t="shared" si="5"/>
        <v>77.926999999999978</v>
      </c>
      <c r="S40" s="28">
        <v>22.12</v>
      </c>
      <c r="T40" s="28">
        <v>3.3380000000000001</v>
      </c>
      <c r="U40" s="28">
        <v>-10</v>
      </c>
      <c r="V40" s="29">
        <f t="shared" si="6"/>
        <v>93.384999999999977</v>
      </c>
      <c r="W40" s="28">
        <v>18.593</v>
      </c>
      <c r="X40" s="30">
        <f t="shared" si="7"/>
        <v>74.791999999999973</v>
      </c>
      <c r="Y40" s="28"/>
      <c r="Z40" s="31">
        <f t="shared" si="8"/>
        <v>2.4386137193091257E-2</v>
      </c>
      <c r="AA40" s="32">
        <f t="shared" si="9"/>
        <v>6.2737216032049507E-3</v>
      </c>
      <c r="AB40" s="33">
        <f t="shared" si="10"/>
        <v>0.47385543693826748</v>
      </c>
      <c r="AC40" s="33">
        <f t="shared" si="11"/>
        <v>0.48062503209901913</v>
      </c>
      <c r="AD40" s="33">
        <f t="shared" si="12"/>
        <v>0.53088421609969183</v>
      </c>
      <c r="AE40" s="32">
        <f t="shared" si="13"/>
        <v>1.6289772539151742E-2</v>
      </c>
      <c r="AF40" s="32">
        <f t="shared" si="14"/>
        <v>1.0849114130564266E-2</v>
      </c>
      <c r="AG40" s="32">
        <f>X40/DV40*2</f>
        <v>2.1460266213236569E-2</v>
      </c>
      <c r="AH40" s="32">
        <f>(P40+S40+T40)/DV40*2</f>
        <v>3.5777918151602861E-2</v>
      </c>
      <c r="AI40" s="32">
        <f>R40/DV40*2</f>
        <v>2.2359800048118599E-2</v>
      </c>
      <c r="AJ40" s="34">
        <f>X40/FZ40*2</f>
        <v>7.8574456472921717E-2</v>
      </c>
      <c r="AK40" s="35"/>
      <c r="AL40" s="36">
        <f t="shared" si="15"/>
        <v>1.9185919316603288E-2</v>
      </c>
      <c r="AM40" s="33">
        <f t="shared" si="16"/>
        <v>6.4026211183912954E-2</v>
      </c>
      <c r="AN40" s="34">
        <f t="shared" si="17"/>
        <v>3.8848774777162545E-2</v>
      </c>
      <c r="AO40" s="28"/>
      <c r="AP40" s="36">
        <f t="shared" si="18"/>
        <v>0.82849835036403119</v>
      </c>
      <c r="AQ40" s="33">
        <f t="shared" si="19"/>
        <v>0.79675000319951916</v>
      </c>
      <c r="AR40" s="33">
        <f t="shared" si="20"/>
        <v>5.1051098277084053E-2</v>
      </c>
      <c r="AS40" s="33">
        <f t="shared" si="21"/>
        <v>0.34094238065825466</v>
      </c>
      <c r="AT40" s="33">
        <f t="shared" si="22"/>
        <v>0.12298525857971156</v>
      </c>
      <c r="AU40" s="37">
        <v>4.37</v>
      </c>
      <c r="AV40" s="38">
        <v>1.34</v>
      </c>
      <c r="AW40" s="28"/>
      <c r="AX40" s="36">
        <f>GB40/C40</f>
        <v>0.14416626580098657</v>
      </c>
      <c r="AY40" s="33">
        <v>0.1265</v>
      </c>
      <c r="AZ40" s="33">
        <f t="shared" si="23"/>
        <v>0.25598020814575745</v>
      </c>
      <c r="BA40" s="33">
        <f t="shared" si="24"/>
        <v>0.27329490624668135</v>
      </c>
      <c r="BB40" s="34">
        <f t="shared" si="25"/>
        <v>0.29060960434760524</v>
      </c>
      <c r="BC40" s="33"/>
      <c r="BD40" s="36">
        <f t="shared" si="26"/>
        <v>0.21332525531824414</v>
      </c>
      <c r="BE40" s="33">
        <f t="shared" si="27"/>
        <v>0.23147958628644097</v>
      </c>
      <c r="BF40" s="34">
        <f t="shared" si="28"/>
        <v>0.25091693864109849</v>
      </c>
      <c r="BG40" s="25"/>
      <c r="BH40" s="39">
        <v>2.1999999999999999E-2</v>
      </c>
      <c r="BI40" s="36">
        <f t="shared" si="29"/>
        <v>1.2374999999999999E-2</v>
      </c>
      <c r="BJ40" s="34">
        <f t="shared" si="30"/>
        <v>1.6500000000000001E-2</v>
      </c>
      <c r="BK40" s="65">
        <v>1.2500000000000001E-2</v>
      </c>
      <c r="BL40" s="33"/>
      <c r="BM40" s="39">
        <f t="shared" si="31"/>
        <v>6.0950255318244134E-2</v>
      </c>
      <c r="BN40" s="34">
        <f t="shared" si="32"/>
        <v>5.9979586286440983E-2</v>
      </c>
      <c r="BO40" s="34">
        <f t="shared" si="33"/>
        <v>5.3916938641098477E-2</v>
      </c>
      <c r="BP40" s="28"/>
      <c r="BQ40" s="31">
        <f>Q40/GD40*2</f>
        <v>3.7173425606804138E-3</v>
      </c>
      <c r="BR40" s="33">
        <f t="shared" si="34"/>
        <v>0.17087039160805514</v>
      </c>
      <c r="BS40" s="32">
        <f>FC40/E40</f>
        <v>2.8238981737472524E-2</v>
      </c>
      <c r="BT40" s="33">
        <f t="shared" si="35"/>
        <v>0.15365647681939837</v>
      </c>
      <c r="BU40" s="33">
        <f t="shared" si="36"/>
        <v>0.69816367116095501</v>
      </c>
      <c r="BV40" s="34">
        <f t="shared" si="37"/>
        <v>0.79142260070100379</v>
      </c>
      <c r="BW40" s="28"/>
      <c r="BX40" s="27">
        <v>84.48</v>
      </c>
      <c r="BY40" s="28">
        <v>408.28800000000001</v>
      </c>
      <c r="BZ40" s="29">
        <f t="shared" si="38"/>
        <v>492.76800000000003</v>
      </c>
      <c r="CA40" s="25">
        <v>11571.947</v>
      </c>
      <c r="CB40" s="28">
        <v>78.840999999999994</v>
      </c>
      <c r="CC40" s="28">
        <v>21.894000000000002</v>
      </c>
      <c r="CD40" s="29">
        <f t="shared" si="39"/>
        <v>11471.212</v>
      </c>
      <c r="CE40" s="28">
        <v>1235.5340000000001</v>
      </c>
      <c r="CF40" s="28">
        <v>673.13300000000004</v>
      </c>
      <c r="CG40" s="29">
        <f t="shared" si="40"/>
        <v>1908.6670000000001</v>
      </c>
      <c r="CH40" s="28">
        <v>4.1040000000000001</v>
      </c>
      <c r="CI40" s="28">
        <v>65.55</v>
      </c>
      <c r="CJ40" s="28">
        <v>89.435000000000002</v>
      </c>
      <c r="CK40" s="28">
        <v>21.184000000000353</v>
      </c>
      <c r="CL40" s="29">
        <f t="shared" si="41"/>
        <v>14052.919999999998</v>
      </c>
      <c r="CM40" s="28">
        <v>52.152000000000001</v>
      </c>
      <c r="CN40" s="25">
        <v>9587.3389999999999</v>
      </c>
      <c r="CO40" s="29">
        <f t="shared" si="42"/>
        <v>9639.491</v>
      </c>
      <c r="CP40" s="28">
        <v>2152.0650000000001</v>
      </c>
      <c r="CQ40" s="28">
        <v>-6.0950000000000273</v>
      </c>
      <c r="CR40" s="29">
        <f t="shared" si="43"/>
        <v>2145.9700000000003</v>
      </c>
      <c r="CS40" s="28">
        <v>241.50200000000001</v>
      </c>
      <c r="CT40" s="28">
        <v>2025.9570000000001</v>
      </c>
      <c r="CU40" s="42">
        <f t="shared" si="44"/>
        <v>14052.92</v>
      </c>
      <c r="CV40" s="28"/>
      <c r="CW40" s="43">
        <v>1728.3020000000001</v>
      </c>
      <c r="CX40" s="28"/>
      <c r="CY40" s="24">
        <v>525</v>
      </c>
      <c r="CZ40" s="25">
        <v>550</v>
      </c>
      <c r="DA40" s="25">
        <v>515</v>
      </c>
      <c r="DB40" s="25">
        <v>350</v>
      </c>
      <c r="DC40" s="25">
        <v>500</v>
      </c>
      <c r="DD40" s="25">
        <v>0</v>
      </c>
      <c r="DE40" s="26">
        <f t="shared" si="45"/>
        <v>2440</v>
      </c>
      <c r="DF40" s="34">
        <f t="shared" si="46"/>
        <v>0.17362939517196427</v>
      </c>
      <c r="DG40" s="68"/>
      <c r="DH40" s="44" t="s">
        <v>232</v>
      </c>
      <c r="DI40" s="45">
        <v>102.1</v>
      </c>
      <c r="DJ40" s="46">
        <v>10</v>
      </c>
      <c r="DK40" s="45" t="s">
        <v>168</v>
      </c>
      <c r="DL40" s="47" t="s">
        <v>169</v>
      </c>
      <c r="DM40" s="48" t="s">
        <v>172</v>
      </c>
      <c r="DN40" s="39">
        <v>0.33897941059261011</v>
      </c>
      <c r="DO40" s="66" t="s">
        <v>178</v>
      </c>
      <c r="DP40" s="67" t="s">
        <v>179</v>
      </c>
      <c r="DQ40" s="25"/>
      <c r="DR40" s="24">
        <v>1774.078</v>
      </c>
      <c r="DS40" s="25">
        <v>1894.078</v>
      </c>
      <c r="DT40" s="26">
        <v>2014.078</v>
      </c>
      <c r="DU40" s="25"/>
      <c r="DV40" s="44">
        <f t="shared" si="47"/>
        <v>6970.277</v>
      </c>
      <c r="DW40" s="25">
        <v>7010.0259999999998</v>
      </c>
      <c r="DX40" s="26">
        <v>6930.5280000000002</v>
      </c>
      <c r="DY40" s="25"/>
      <c r="DZ40" s="24">
        <v>1770.7529999999999</v>
      </c>
      <c r="EA40" s="25">
        <v>1921.4469999999999</v>
      </c>
      <c r="EB40" s="25">
        <v>2082.7910000000002</v>
      </c>
      <c r="EC40" s="26">
        <v>8300.7189999999991</v>
      </c>
      <c r="ED40" s="25"/>
      <c r="EE40" s="24">
        <v>626.08229471000004</v>
      </c>
      <c r="EF40" s="25">
        <v>117.79529709000001</v>
      </c>
      <c r="EG40" s="25">
        <v>708.82179361999999</v>
      </c>
      <c r="EH40" s="25">
        <v>194.92809954000001</v>
      </c>
      <c r="EI40" s="25">
        <v>1574.4878587100002</v>
      </c>
      <c r="EJ40" s="25">
        <v>190.96862325000001</v>
      </c>
      <c r="EK40" s="25">
        <v>153.25671488999998</v>
      </c>
      <c r="EL40" s="25">
        <v>0.65931818999979441</v>
      </c>
      <c r="EM40" s="26">
        <v>7944.3310000000001</v>
      </c>
      <c r="EN40" s="26">
        <f t="shared" si="48"/>
        <v>11511.331</v>
      </c>
      <c r="EO40" s="45"/>
      <c r="EP40" s="36">
        <f t="shared" si="49"/>
        <v>5.4388349593109613E-2</v>
      </c>
      <c r="EQ40" s="33">
        <f t="shared" si="50"/>
        <v>1.0232986705881362E-2</v>
      </c>
      <c r="ER40" s="33">
        <f t="shared" si="51"/>
        <v>6.1576006599063128E-2</v>
      </c>
      <c r="ES40" s="33">
        <f t="shared" si="52"/>
        <v>1.6933584790499032E-2</v>
      </c>
      <c r="ET40" s="33">
        <f t="shared" si="53"/>
        <v>0.13677722052384733</v>
      </c>
      <c r="EU40" s="33">
        <f t="shared" si="54"/>
        <v>1.6589621413023396E-2</v>
      </c>
      <c r="EV40" s="33">
        <f t="shared" si="55"/>
        <v>1.3313552958385089E-2</v>
      </c>
      <c r="EW40" s="33">
        <f t="shared" si="56"/>
        <v>5.7275582641120683E-5</v>
      </c>
      <c r="EX40" s="33">
        <f t="shared" si="57"/>
        <v>0.69013140183354993</v>
      </c>
      <c r="EY40" s="39">
        <f t="shared" si="58"/>
        <v>1</v>
      </c>
      <c r="EZ40" s="45"/>
      <c r="FA40" s="27">
        <v>167.37700000000001</v>
      </c>
      <c r="FB40" s="28">
        <v>159.40299999999999</v>
      </c>
      <c r="FC40" s="42">
        <f t="shared" si="59"/>
        <v>326.77999999999997</v>
      </c>
      <c r="FE40" s="27">
        <f>CB40</f>
        <v>78.840999999999994</v>
      </c>
      <c r="FF40" s="28">
        <f>CC40</f>
        <v>21.894000000000002</v>
      </c>
      <c r="FG40" s="42">
        <f t="shared" si="60"/>
        <v>100.735</v>
      </c>
      <c r="FI40" s="53">
        <v>10313.495999999999</v>
      </c>
      <c r="FJ40" s="54">
        <v>944.67399999999998</v>
      </c>
      <c r="FK40" s="55">
        <v>313.77699999999999</v>
      </c>
      <c r="FL40" s="56">
        <f t="shared" si="61"/>
        <v>11571.946999999998</v>
      </c>
      <c r="FM40" s="57">
        <f t="shared" si="62"/>
        <v>0.89124984758398917</v>
      </c>
      <c r="FN40" s="58">
        <f t="shared" si="63"/>
        <v>8.1634836384922957E-2</v>
      </c>
      <c r="FO40" s="59">
        <f t="shared" si="64"/>
        <v>2.7115316031087942E-2</v>
      </c>
      <c r="FP40" s="61">
        <f t="shared" si="65"/>
        <v>1</v>
      </c>
      <c r="FR40" s="24">
        <f>FV40*E40</f>
        <v>8079.1130000000003</v>
      </c>
      <c r="FS40" s="25">
        <f>E40*FW40</f>
        <v>3492.8340000000003</v>
      </c>
      <c r="FT40" s="26">
        <f t="shared" si="66"/>
        <v>11571.947</v>
      </c>
      <c r="FV40" s="36">
        <v>0.69816367116095501</v>
      </c>
      <c r="FW40" s="33">
        <v>0.30183632883904499</v>
      </c>
      <c r="FX40" s="34">
        <f t="shared" si="67"/>
        <v>1</v>
      </c>
      <c r="FY40" s="45"/>
      <c r="FZ40" s="44">
        <f t="shared" si="68"/>
        <v>1903.723</v>
      </c>
      <c r="GA40" s="25">
        <v>1781.489</v>
      </c>
      <c r="GB40" s="26">
        <v>2025.9570000000001</v>
      </c>
      <c r="GD40" s="44">
        <f t="shared" si="69"/>
        <v>11463.0275</v>
      </c>
      <c r="GE40" s="25">
        <v>11354.108</v>
      </c>
      <c r="GF40" s="26">
        <v>11571.947</v>
      </c>
      <c r="GH40" s="44">
        <f t="shared" si="70"/>
        <v>4779.125</v>
      </c>
      <c r="GI40" s="25">
        <v>4384.2119999999995</v>
      </c>
      <c r="GJ40" s="26">
        <f>F40</f>
        <v>5174.0379999999996</v>
      </c>
      <c r="GL40" s="44">
        <f t="shared" si="71"/>
        <v>16242.1525</v>
      </c>
      <c r="GM40" s="45">
        <f t="shared" si="72"/>
        <v>15738.32</v>
      </c>
      <c r="GN40" s="46">
        <f t="shared" si="73"/>
        <v>16745.985000000001</v>
      </c>
      <c r="GP40" s="44">
        <f t="shared" si="74"/>
        <v>9408.0750000000007</v>
      </c>
      <c r="GQ40" s="25">
        <v>9228.8109999999997</v>
      </c>
      <c r="GR40" s="26">
        <f>G40</f>
        <v>9587.3389999999999</v>
      </c>
      <c r="GS40" s="25"/>
      <c r="GT40" s="44">
        <f t="shared" si="75"/>
        <v>13787.6695</v>
      </c>
      <c r="GU40" s="25">
        <v>13522.419000000002</v>
      </c>
      <c r="GV40" s="26">
        <f>C40</f>
        <v>14052.92</v>
      </c>
      <c r="GW40" s="25"/>
      <c r="GX40" s="61">
        <f>DX40/C40</f>
        <v>0.49317351838621443</v>
      </c>
      <c r="GY40" s="62"/>
    </row>
    <row r="41" spans="1:207" x14ac:dyDescent="0.25">
      <c r="A41" s="1"/>
      <c r="B41" s="23" t="s">
        <v>212</v>
      </c>
      <c r="C41" s="24">
        <v>4308.2539999999999</v>
      </c>
      <c r="D41" s="25">
        <f t="shared" si="0"/>
        <v>4256.0239999999994</v>
      </c>
      <c r="E41" s="25">
        <v>2999.23</v>
      </c>
      <c r="F41" s="25">
        <v>604.39700000000005</v>
      </c>
      <c r="G41" s="25">
        <v>3424.8090000000002</v>
      </c>
      <c r="H41" s="25">
        <f t="shared" si="1"/>
        <v>4912.6509999999998</v>
      </c>
      <c r="I41" s="26">
        <f t="shared" si="2"/>
        <v>3603.627</v>
      </c>
      <c r="J41" s="25"/>
      <c r="K41" s="27">
        <v>55.177999999999997</v>
      </c>
      <c r="L41" s="28">
        <v>9.4779999999999998</v>
      </c>
      <c r="M41" s="28">
        <v>4.4999999999999998E-2</v>
      </c>
      <c r="N41" s="29">
        <f t="shared" si="3"/>
        <v>64.700999999999993</v>
      </c>
      <c r="O41" s="28">
        <v>30.616</v>
      </c>
      <c r="P41" s="29">
        <f t="shared" si="4"/>
        <v>34.084999999999994</v>
      </c>
      <c r="Q41" s="28">
        <v>0.52600000000000002</v>
      </c>
      <c r="R41" s="29">
        <f t="shared" si="5"/>
        <v>33.55899999999999</v>
      </c>
      <c r="S41" s="28">
        <v>13.195</v>
      </c>
      <c r="T41" s="28">
        <v>2.4750000000000001</v>
      </c>
      <c r="U41" s="28">
        <v>-1.9</v>
      </c>
      <c r="V41" s="29">
        <f t="shared" si="6"/>
        <v>47.328999999999994</v>
      </c>
      <c r="W41" s="28">
        <v>7.7220000000000004</v>
      </c>
      <c r="X41" s="30">
        <f t="shared" si="7"/>
        <v>39.606999999999992</v>
      </c>
      <c r="Y41" s="28"/>
      <c r="Z41" s="31">
        <f t="shared" si="8"/>
        <v>2.5929365059971468E-2</v>
      </c>
      <c r="AA41" s="32">
        <f t="shared" si="9"/>
        <v>4.4539222523181264E-3</v>
      </c>
      <c r="AB41" s="33">
        <f t="shared" si="10"/>
        <v>0.38093342125891189</v>
      </c>
      <c r="AC41" s="33">
        <f t="shared" si="11"/>
        <v>0.39303686967238377</v>
      </c>
      <c r="AD41" s="33">
        <f t="shared" si="12"/>
        <v>0.47319206812877701</v>
      </c>
      <c r="AE41" s="32">
        <f t="shared" si="13"/>
        <v>1.438713691464146E-2</v>
      </c>
      <c r="AF41" s="32">
        <f t="shared" si="14"/>
        <v>1.8612207074020257E-2</v>
      </c>
      <c r="AG41" s="32">
        <f>X41/DV41*2</f>
        <v>4.1814635016681978E-2</v>
      </c>
      <c r="AH41" s="32">
        <f>(P41+S41+T41)/DV41*2</f>
        <v>5.2528269378014296E-2</v>
      </c>
      <c r="AI41" s="32">
        <f>R41/DV41*2</f>
        <v>3.542952853093722E-2</v>
      </c>
      <c r="AJ41" s="34">
        <f>X41/FZ41*2</f>
        <v>0.12202153330237121</v>
      </c>
      <c r="AK41" s="35"/>
      <c r="AL41" s="36">
        <f t="shared" si="15"/>
        <v>7.6073730105564678E-3</v>
      </c>
      <c r="AM41" s="33">
        <f t="shared" si="16"/>
        <v>4.236119122980388E-3</v>
      </c>
      <c r="AN41" s="34">
        <f t="shared" si="17"/>
        <v>1.2485454872263085E-2</v>
      </c>
      <c r="AO41" s="28"/>
      <c r="AP41" s="36">
        <f t="shared" si="18"/>
        <v>1.1418960866622434</v>
      </c>
      <c r="AQ41" s="33">
        <f t="shared" si="19"/>
        <v>0.94818023682848829</v>
      </c>
      <c r="AR41" s="33">
        <f t="shared" si="20"/>
        <v>-0.19848504753897989</v>
      </c>
      <c r="AS41" s="33">
        <f t="shared" si="21"/>
        <v>9.4942289846420391E-2</v>
      </c>
      <c r="AT41" s="33">
        <f t="shared" si="22"/>
        <v>0.24193002548132034</v>
      </c>
      <c r="AU41" s="37">
        <v>3.07</v>
      </c>
      <c r="AV41" s="38">
        <v>1.48</v>
      </c>
      <c r="AW41" s="28"/>
      <c r="AX41" s="36">
        <f>GB41/C41</f>
        <v>0.15789783982095765</v>
      </c>
      <c r="AY41" s="33">
        <v>0.1482</v>
      </c>
      <c r="AZ41" s="33">
        <f t="shared" si="23"/>
        <v>0.32652117600585429</v>
      </c>
      <c r="BA41" s="33">
        <f t="shared" si="24"/>
        <v>0.34790271187364796</v>
      </c>
      <c r="BB41" s="34">
        <f t="shared" si="25"/>
        <v>0.37462963170839009</v>
      </c>
      <c r="BC41" s="33"/>
      <c r="BD41" s="36">
        <f t="shared" si="26"/>
        <v>0.29249811149215516</v>
      </c>
      <c r="BE41" s="33">
        <f t="shared" si="27"/>
        <v>0.31412833067366486</v>
      </c>
      <c r="BF41" s="34">
        <f t="shared" si="28"/>
        <v>0.33663858018589982</v>
      </c>
      <c r="BG41" s="25"/>
      <c r="BH41" s="39">
        <v>2.7E-2</v>
      </c>
      <c r="BI41" s="36">
        <f t="shared" si="29"/>
        <v>1.51875E-2</v>
      </c>
      <c r="BJ41" s="34">
        <f t="shared" si="30"/>
        <v>2.0250000000000001E-2</v>
      </c>
      <c r="BK41" s="39"/>
      <c r="BL41" s="33"/>
      <c r="BM41" s="39">
        <f t="shared" si="31"/>
        <v>0.13731061149215515</v>
      </c>
      <c r="BN41" s="34">
        <f t="shared" si="32"/>
        <v>0.13887833067366487</v>
      </c>
      <c r="BO41" s="34">
        <f t="shared" si="33"/>
        <v>0.1346385801858998</v>
      </c>
      <c r="BP41" s="28"/>
      <c r="BQ41" s="31">
        <f>Q41/GD41*2</f>
        <v>3.5208580719352808E-4</v>
      </c>
      <c r="BR41" s="33">
        <f t="shared" si="34"/>
        <v>1.0571801828961915E-2</v>
      </c>
      <c r="BS41" s="32">
        <f>FC41/E41</f>
        <v>1.5768380551008095E-2</v>
      </c>
      <c r="BT41" s="33">
        <f t="shared" si="35"/>
        <v>6.7164677228088374E-2</v>
      </c>
      <c r="BU41" s="33">
        <f t="shared" si="36"/>
        <v>0.76365667187911568</v>
      </c>
      <c r="BV41" s="34">
        <f t="shared" si="37"/>
        <v>0.80329595710099855</v>
      </c>
      <c r="BW41" s="28"/>
      <c r="BX41" s="27">
        <v>73.978999999999999</v>
      </c>
      <c r="BY41" s="28">
        <v>555.75400000000002</v>
      </c>
      <c r="BZ41" s="29">
        <f t="shared" si="38"/>
        <v>629.73300000000006</v>
      </c>
      <c r="CA41" s="25">
        <v>2999.23</v>
      </c>
      <c r="CB41" s="28">
        <v>12.696999999999999</v>
      </c>
      <c r="CC41" s="28">
        <v>11.173999999999999</v>
      </c>
      <c r="CD41" s="29">
        <f t="shared" si="39"/>
        <v>2975.3589999999999</v>
      </c>
      <c r="CE41" s="28">
        <v>411.14499999999998</v>
      </c>
      <c r="CF41" s="28">
        <v>275.95600000000002</v>
      </c>
      <c r="CG41" s="29">
        <f t="shared" si="40"/>
        <v>687.101</v>
      </c>
      <c r="CH41" s="28">
        <v>0</v>
      </c>
      <c r="CI41" s="28">
        <v>0</v>
      </c>
      <c r="CJ41" s="28">
        <v>12.266999999999999</v>
      </c>
      <c r="CK41" s="28">
        <v>3.7939999999998086</v>
      </c>
      <c r="CL41" s="29">
        <f t="shared" si="41"/>
        <v>4308.2539999999999</v>
      </c>
      <c r="CM41" s="28">
        <v>6.0119999999999996</v>
      </c>
      <c r="CN41" s="25">
        <v>3424.8090000000002</v>
      </c>
      <c r="CO41" s="29">
        <f t="shared" si="42"/>
        <v>3430.8210000000004</v>
      </c>
      <c r="CP41" s="28">
        <v>100.825</v>
      </c>
      <c r="CQ41" s="28">
        <v>16.008999999999446</v>
      </c>
      <c r="CR41" s="29">
        <f t="shared" si="43"/>
        <v>116.83399999999945</v>
      </c>
      <c r="CS41" s="28">
        <v>80.335000000000008</v>
      </c>
      <c r="CT41" s="28">
        <v>680.26400000000001</v>
      </c>
      <c r="CU41" s="42">
        <f t="shared" si="44"/>
        <v>4308.2539999999999</v>
      </c>
      <c r="CV41" s="28"/>
      <c r="CW41" s="43">
        <v>1042.2960000000003</v>
      </c>
      <c r="CX41" s="28"/>
      <c r="CY41" s="24">
        <v>50</v>
      </c>
      <c r="CZ41" s="25">
        <v>50</v>
      </c>
      <c r="DA41" s="25">
        <v>80</v>
      </c>
      <c r="DB41" s="25">
        <v>0</v>
      </c>
      <c r="DC41" s="25">
        <v>0</v>
      </c>
      <c r="DD41" s="25">
        <v>0</v>
      </c>
      <c r="DE41" s="26">
        <f t="shared" si="45"/>
        <v>180</v>
      </c>
      <c r="DF41" s="34">
        <f t="shared" si="46"/>
        <v>4.1780266437401327E-2</v>
      </c>
      <c r="DG41" s="68"/>
      <c r="DH41" s="44" t="s">
        <v>233</v>
      </c>
      <c r="DI41" s="45">
        <v>32.5</v>
      </c>
      <c r="DJ41" s="46">
        <v>3</v>
      </c>
      <c r="DK41" s="45" t="s">
        <v>168</v>
      </c>
      <c r="DL41" s="47" t="s">
        <v>169</v>
      </c>
      <c r="DM41" s="45"/>
      <c r="DN41" s="39" t="s">
        <v>224</v>
      </c>
      <c r="DO41" s="36"/>
      <c r="DP41" s="34"/>
      <c r="DQ41" s="25"/>
      <c r="DR41" s="24">
        <v>610.84699999999998</v>
      </c>
      <c r="DS41" s="25">
        <v>650.84699999999998</v>
      </c>
      <c r="DT41" s="26">
        <v>700.84699999999998</v>
      </c>
      <c r="DU41" s="25"/>
      <c r="DV41" s="44">
        <f t="shared" si="47"/>
        <v>1894.4085</v>
      </c>
      <c r="DW41" s="25">
        <v>1918.0440000000001</v>
      </c>
      <c r="DX41" s="26">
        <v>1870.7729999999999</v>
      </c>
      <c r="DY41" s="25"/>
      <c r="DZ41" s="24">
        <v>612.56299999999999</v>
      </c>
      <c r="EA41" s="25">
        <v>657.86199999999997</v>
      </c>
      <c r="EB41" s="25">
        <v>705.00400000000002</v>
      </c>
      <c r="EC41" s="26">
        <v>2094.2460000000001</v>
      </c>
      <c r="ED41" s="25"/>
      <c r="EE41" s="24">
        <v>24.936</v>
      </c>
      <c r="EF41" s="25">
        <v>32.057000000000002</v>
      </c>
      <c r="EG41" s="25">
        <v>124.15900000000001</v>
      </c>
      <c r="EH41" s="25">
        <v>87.37700000000001</v>
      </c>
      <c r="EI41" s="25">
        <v>359.745</v>
      </c>
      <c r="EJ41" s="25">
        <v>58.087000000000003</v>
      </c>
      <c r="EK41" s="25">
        <v>39.884</v>
      </c>
      <c r="EL41" s="25">
        <v>20.525000000000091</v>
      </c>
      <c r="EM41" s="26">
        <v>2314.8449999999998</v>
      </c>
      <c r="EN41" s="26">
        <f t="shared" si="48"/>
        <v>3061.6149999999998</v>
      </c>
      <c r="EO41" s="45"/>
      <c r="EP41" s="36">
        <f t="shared" si="49"/>
        <v>8.1447210050904512E-3</v>
      </c>
      <c r="EQ41" s="33">
        <f t="shared" si="50"/>
        <v>1.0470617631544138E-2</v>
      </c>
      <c r="ER41" s="33">
        <f t="shared" si="51"/>
        <v>4.0553433400345902E-2</v>
      </c>
      <c r="ES41" s="33">
        <f t="shared" si="52"/>
        <v>2.85395126428372E-2</v>
      </c>
      <c r="ET41" s="33">
        <f t="shared" si="53"/>
        <v>0.11750171069843858</v>
      </c>
      <c r="EU41" s="33">
        <f t="shared" si="54"/>
        <v>1.897266638685792E-2</v>
      </c>
      <c r="EV41" s="33">
        <f t="shared" si="55"/>
        <v>1.3027111508141946E-2</v>
      </c>
      <c r="EW41" s="33">
        <f t="shared" si="56"/>
        <v>6.7039781291900165E-3</v>
      </c>
      <c r="EX41" s="33">
        <f t="shared" si="57"/>
        <v>0.75608624859755391</v>
      </c>
      <c r="EY41" s="39">
        <f t="shared" si="58"/>
        <v>1</v>
      </c>
      <c r="EZ41" s="45"/>
      <c r="FA41" s="27">
        <v>22.712000000000003</v>
      </c>
      <c r="FB41" s="28">
        <v>24.581</v>
      </c>
      <c r="FC41" s="42">
        <f t="shared" si="59"/>
        <v>47.293000000000006</v>
      </c>
      <c r="FE41" s="27">
        <f>CB41</f>
        <v>12.696999999999999</v>
      </c>
      <c r="FF41" s="28">
        <f>CC41</f>
        <v>11.173999999999999</v>
      </c>
      <c r="FG41" s="42">
        <f t="shared" si="60"/>
        <v>23.870999999999999</v>
      </c>
      <c r="FI41" s="53">
        <v>2790.7779999999998</v>
      </c>
      <c r="FJ41" s="54">
        <v>161.35</v>
      </c>
      <c r="FK41" s="55">
        <v>47.093000000000004</v>
      </c>
      <c r="FL41" s="56">
        <f t="shared" si="61"/>
        <v>2999.2209999999995</v>
      </c>
      <c r="FM41" s="57">
        <f t="shared" si="62"/>
        <v>0.93050095341423666</v>
      </c>
      <c r="FN41" s="58">
        <f t="shared" si="63"/>
        <v>5.3797302699601E-2</v>
      </c>
      <c r="FO41" s="59">
        <f t="shared" si="64"/>
        <v>1.5701743886162443E-2</v>
      </c>
      <c r="FP41" s="61">
        <f t="shared" si="65"/>
        <v>1.0000000000000002</v>
      </c>
      <c r="FR41" s="24">
        <f>FV41*E41</f>
        <v>2290.3820000000001</v>
      </c>
      <c r="FS41" s="25">
        <f>E41*FW41</f>
        <v>708.84799999999984</v>
      </c>
      <c r="FT41" s="26">
        <f t="shared" si="66"/>
        <v>2999.23</v>
      </c>
      <c r="FV41" s="36">
        <v>0.76365667187911568</v>
      </c>
      <c r="FW41" s="33">
        <v>0.23634332812088432</v>
      </c>
      <c r="FX41" s="34">
        <f t="shared" si="67"/>
        <v>1</v>
      </c>
      <c r="FY41" s="45"/>
      <c r="FZ41" s="44">
        <f t="shared" si="68"/>
        <v>649.18049999999994</v>
      </c>
      <c r="GA41" s="25">
        <v>618.09699999999998</v>
      </c>
      <c r="GB41" s="26">
        <v>680.26400000000001</v>
      </c>
      <c r="GD41" s="44">
        <f t="shared" si="69"/>
        <v>2987.9079999999999</v>
      </c>
      <c r="GE41" s="25">
        <v>2976.5859999999998</v>
      </c>
      <c r="GF41" s="26">
        <v>2999.23</v>
      </c>
      <c r="GH41" s="44">
        <f t="shared" si="70"/>
        <v>608.11850000000004</v>
      </c>
      <c r="GI41" s="25">
        <v>611.84</v>
      </c>
      <c r="GJ41" s="26">
        <f>F41</f>
        <v>604.39700000000005</v>
      </c>
      <c r="GL41" s="44">
        <f t="shared" si="71"/>
        <v>3596.0264999999999</v>
      </c>
      <c r="GM41" s="45">
        <f t="shared" si="72"/>
        <v>3588.4259999999999</v>
      </c>
      <c r="GN41" s="46">
        <f t="shared" si="73"/>
        <v>3603.627</v>
      </c>
      <c r="GP41" s="44">
        <f t="shared" si="74"/>
        <v>3403.6925000000001</v>
      </c>
      <c r="GQ41" s="25">
        <v>3382.576</v>
      </c>
      <c r="GR41" s="26">
        <f>G41</f>
        <v>3424.8090000000002</v>
      </c>
      <c r="GS41" s="25"/>
      <c r="GT41" s="44">
        <f t="shared" si="75"/>
        <v>4256.0239999999994</v>
      </c>
      <c r="GU41" s="25">
        <v>4203.7939999999999</v>
      </c>
      <c r="GV41" s="26">
        <f>C41</f>
        <v>4308.2539999999999</v>
      </c>
      <c r="GW41" s="25"/>
      <c r="GX41" s="61">
        <f>DX41/C41</f>
        <v>0.43422996879942544</v>
      </c>
      <c r="GY41" s="62"/>
    </row>
    <row r="42" spans="1:207" x14ac:dyDescent="0.25">
      <c r="A42" s="1"/>
      <c r="B42" s="23" t="s">
        <v>213</v>
      </c>
      <c r="C42" s="24">
        <v>5113.8379999999997</v>
      </c>
      <c r="D42" s="25">
        <f t="shared" si="0"/>
        <v>4729.9059999999999</v>
      </c>
      <c r="E42" s="25">
        <v>4081.4569999999999</v>
      </c>
      <c r="F42" s="25">
        <v>2064.4470000000001</v>
      </c>
      <c r="G42" s="25">
        <v>3483.9920000000002</v>
      </c>
      <c r="H42" s="25">
        <f t="shared" si="1"/>
        <v>7178.2849999999999</v>
      </c>
      <c r="I42" s="26">
        <f t="shared" si="2"/>
        <v>6145.9040000000005</v>
      </c>
      <c r="J42" s="25"/>
      <c r="K42" s="27">
        <v>55.203000000000003</v>
      </c>
      <c r="L42" s="28">
        <v>17.414000000000001</v>
      </c>
      <c r="M42" s="28">
        <v>1.351</v>
      </c>
      <c r="N42" s="29">
        <f t="shared" si="3"/>
        <v>73.968000000000004</v>
      </c>
      <c r="O42" s="28">
        <v>42.238</v>
      </c>
      <c r="P42" s="29">
        <f t="shared" si="4"/>
        <v>31.730000000000004</v>
      </c>
      <c r="Q42" s="28">
        <v>0.94099999999999995</v>
      </c>
      <c r="R42" s="29">
        <f t="shared" si="5"/>
        <v>30.789000000000005</v>
      </c>
      <c r="S42" s="28">
        <v>9.56</v>
      </c>
      <c r="T42" s="28">
        <v>-0.94599999999999995</v>
      </c>
      <c r="U42" s="28">
        <v>0</v>
      </c>
      <c r="V42" s="29">
        <f t="shared" si="6"/>
        <v>39.403000000000006</v>
      </c>
      <c r="W42" s="28">
        <v>7.891</v>
      </c>
      <c r="X42" s="30">
        <f t="shared" si="7"/>
        <v>31.512000000000008</v>
      </c>
      <c r="Y42" s="28"/>
      <c r="Z42" s="31">
        <f t="shared" si="8"/>
        <v>2.3342112929939835E-2</v>
      </c>
      <c r="AA42" s="32">
        <f t="shared" si="9"/>
        <v>7.3633598638112481E-3</v>
      </c>
      <c r="AB42" s="33">
        <f t="shared" si="10"/>
        <v>0.5114673899881329</v>
      </c>
      <c r="AC42" s="33">
        <f t="shared" si="11"/>
        <v>0.50567474379848665</v>
      </c>
      <c r="AD42" s="33">
        <f t="shared" si="12"/>
        <v>0.57103071598529087</v>
      </c>
      <c r="AE42" s="32">
        <f t="shared" si="13"/>
        <v>1.7859974384268947E-2</v>
      </c>
      <c r="AF42" s="32">
        <f t="shared" si="14"/>
        <v>1.3324577697738605E-2</v>
      </c>
      <c r="AG42" s="32">
        <f>X42/DV42*2</f>
        <v>2.6101163544347838E-2</v>
      </c>
      <c r="AH42" s="32">
        <f>(P42+S42+T42)/DV42*2</f>
        <v>3.3416645786785007E-2</v>
      </c>
      <c r="AI42" s="32">
        <f>R42/DV42*2</f>
        <v>2.5502307830887458E-2</v>
      </c>
      <c r="AJ42" s="34">
        <f>X42/FZ42*2</f>
        <v>8.7032293256184903E-2</v>
      </c>
      <c r="AK42" s="35"/>
      <c r="AL42" s="36">
        <f t="shared" si="15"/>
        <v>0.1721803617297962</v>
      </c>
      <c r="AM42" s="33">
        <f t="shared" si="16"/>
        <v>0.15732525264394392</v>
      </c>
      <c r="AN42" s="34">
        <f t="shared" si="17"/>
        <v>0.18474598634070438</v>
      </c>
      <c r="AO42" s="28"/>
      <c r="AP42" s="36">
        <f t="shared" si="18"/>
        <v>0.85361477531185559</v>
      </c>
      <c r="AQ42" s="33">
        <f t="shared" si="19"/>
        <v>0.8073550117766578</v>
      </c>
      <c r="AR42" s="33">
        <f t="shared" si="20"/>
        <v>2.6733541422313316E-2</v>
      </c>
      <c r="AS42" s="33">
        <f t="shared" si="21"/>
        <v>0.35920232514209488</v>
      </c>
      <c r="AT42" s="33">
        <f t="shared" si="22"/>
        <v>0.13583007518032447</v>
      </c>
      <c r="AU42" s="37">
        <v>2.77</v>
      </c>
      <c r="AV42" s="38">
        <v>1.31</v>
      </c>
      <c r="AW42" s="28"/>
      <c r="AX42" s="36">
        <f>GB42/C42</f>
        <v>0.14714799334668013</v>
      </c>
      <c r="AY42" s="33">
        <v>0.12820000000000001</v>
      </c>
      <c r="AZ42" s="33">
        <f t="shared" si="23"/>
        <v>0.27568783580674733</v>
      </c>
      <c r="BA42" s="33">
        <f t="shared" si="24"/>
        <v>0.27568783580674733</v>
      </c>
      <c r="BB42" s="34">
        <f t="shared" si="25"/>
        <v>0.28604666162406844</v>
      </c>
      <c r="BC42" s="33"/>
      <c r="BD42" s="36">
        <f t="shared" si="26"/>
        <v>0.22881097546094717</v>
      </c>
      <c r="BE42" s="33">
        <f t="shared" si="27"/>
        <v>0.23258653975373414</v>
      </c>
      <c r="BF42" s="34">
        <f t="shared" si="28"/>
        <v>0.24629545328084917</v>
      </c>
      <c r="BG42" s="25"/>
      <c r="BH42" s="39">
        <v>2.5000000000000001E-2</v>
      </c>
      <c r="BI42" s="36">
        <f t="shared" si="29"/>
        <v>1.40625E-2</v>
      </c>
      <c r="BJ42" s="34">
        <f t="shared" si="30"/>
        <v>1.8750000000000003E-2</v>
      </c>
      <c r="BK42" s="39">
        <v>1.4999999999999999E-2</v>
      </c>
      <c r="BL42" s="33"/>
      <c r="BM42" s="39">
        <f t="shared" si="31"/>
        <v>7.474847546094715E-2</v>
      </c>
      <c r="BN42" s="34">
        <f t="shared" si="32"/>
        <v>5.8836539753734124E-2</v>
      </c>
      <c r="BO42" s="34">
        <f t="shared" si="33"/>
        <v>4.6295453280849164E-2</v>
      </c>
      <c r="BP42" s="28"/>
      <c r="BQ42" s="31">
        <f>Q42/GD42*2</f>
        <v>4.9766024322681632E-4</v>
      </c>
      <c r="BR42" s="33">
        <f t="shared" si="34"/>
        <v>2.3324410073369019E-2</v>
      </c>
      <c r="BS42" s="32">
        <f>FC42/E42</f>
        <v>2.2760254487551871E-2</v>
      </c>
      <c r="BT42" s="33">
        <f t="shared" si="35"/>
        <v>0.12084955696951799</v>
      </c>
      <c r="BU42" s="33">
        <f t="shared" si="36"/>
        <v>0.68481598605595995</v>
      </c>
      <c r="BV42" s="34">
        <f t="shared" si="37"/>
        <v>0.79068823723898063</v>
      </c>
      <c r="BW42" s="28"/>
      <c r="BX42" s="27">
        <v>51.18</v>
      </c>
      <c r="BY42" s="28">
        <v>151.43600000000001</v>
      </c>
      <c r="BZ42" s="29">
        <f t="shared" si="38"/>
        <v>202.61600000000001</v>
      </c>
      <c r="CA42" s="25">
        <v>4081.4569999999999</v>
      </c>
      <c r="CB42" s="28">
        <v>7.7560000000000002</v>
      </c>
      <c r="CC42" s="28">
        <v>8.4359999999999999</v>
      </c>
      <c r="CD42" s="29">
        <f t="shared" si="39"/>
        <v>4065.2649999999999</v>
      </c>
      <c r="CE42" s="28">
        <v>481.20400000000001</v>
      </c>
      <c r="CF42" s="28">
        <v>287.89100000000002</v>
      </c>
      <c r="CG42" s="29">
        <f t="shared" si="40"/>
        <v>769.09500000000003</v>
      </c>
      <c r="CH42" s="28">
        <v>22.791</v>
      </c>
      <c r="CI42" s="28">
        <v>0</v>
      </c>
      <c r="CJ42" s="28">
        <v>52.328000000000003</v>
      </c>
      <c r="CK42" s="28">
        <v>1.7429999999998529</v>
      </c>
      <c r="CL42" s="29">
        <f t="shared" si="41"/>
        <v>5113.8380000000006</v>
      </c>
      <c r="CM42" s="28">
        <v>75.631</v>
      </c>
      <c r="CN42" s="25">
        <v>3483.9920000000002</v>
      </c>
      <c r="CO42" s="29">
        <f t="shared" si="42"/>
        <v>3559.623</v>
      </c>
      <c r="CP42" s="28">
        <v>729.048</v>
      </c>
      <c r="CQ42" s="28">
        <v>46.030999999999722</v>
      </c>
      <c r="CR42" s="29">
        <f t="shared" si="43"/>
        <v>775.07899999999972</v>
      </c>
      <c r="CS42" s="28">
        <v>26.645</v>
      </c>
      <c r="CT42" s="28">
        <v>752.49099999999999</v>
      </c>
      <c r="CU42" s="42">
        <f t="shared" si="44"/>
        <v>5113.8379999999997</v>
      </c>
      <c r="CV42" s="28"/>
      <c r="CW42" s="43">
        <v>694.61300000000006</v>
      </c>
      <c r="CX42" s="28"/>
      <c r="CY42" s="24">
        <v>150</v>
      </c>
      <c r="CZ42" s="25">
        <v>125</v>
      </c>
      <c r="DA42" s="25">
        <v>150</v>
      </c>
      <c r="DB42" s="25">
        <v>150</v>
      </c>
      <c r="DC42" s="25">
        <v>75</v>
      </c>
      <c r="DD42" s="25">
        <v>26.5</v>
      </c>
      <c r="DE42" s="26">
        <f t="shared" si="45"/>
        <v>676.5</v>
      </c>
      <c r="DF42" s="34">
        <f t="shared" si="46"/>
        <v>0.13228811706589064</v>
      </c>
      <c r="DG42" s="68"/>
      <c r="DH42" s="44" t="s">
        <v>235</v>
      </c>
      <c r="DI42" s="45">
        <v>34</v>
      </c>
      <c r="DJ42" s="46">
        <v>4</v>
      </c>
      <c r="DK42" s="45" t="s">
        <v>168</v>
      </c>
      <c r="DL42" s="47" t="s">
        <v>169</v>
      </c>
      <c r="DM42" s="45"/>
      <c r="DN42" s="39" t="s">
        <v>224</v>
      </c>
      <c r="DO42" s="36"/>
      <c r="DP42" s="34"/>
      <c r="DQ42" s="25"/>
      <c r="DR42" s="24">
        <v>705.26599999999996</v>
      </c>
      <c r="DS42" s="25">
        <v>705.26599999999996</v>
      </c>
      <c r="DT42" s="26">
        <v>731.76599999999996</v>
      </c>
      <c r="DU42" s="25"/>
      <c r="DV42" s="44">
        <f t="shared" si="47"/>
        <v>2414.605</v>
      </c>
      <c r="DW42" s="25">
        <v>2271.0050000000001</v>
      </c>
      <c r="DX42" s="26">
        <v>2558.2049999999999</v>
      </c>
      <c r="DY42" s="25"/>
      <c r="DZ42" s="24">
        <v>703.178</v>
      </c>
      <c r="EA42" s="25">
        <v>714.78099999999995</v>
      </c>
      <c r="EB42" s="25">
        <v>756.91099999999994</v>
      </c>
      <c r="EC42" s="26">
        <v>3073.183</v>
      </c>
      <c r="ED42" s="25"/>
      <c r="EE42" s="24">
        <v>363.61369442</v>
      </c>
      <c r="EF42" s="25">
        <v>51.446705809999997</v>
      </c>
      <c r="EG42" s="25">
        <v>116.80005005</v>
      </c>
      <c r="EH42" s="25">
        <v>76.722594649999991</v>
      </c>
      <c r="EI42" s="25">
        <v>476.38915004000006</v>
      </c>
      <c r="EJ42" s="25">
        <v>62.262987989999999</v>
      </c>
      <c r="EK42" s="25">
        <v>11.467081609999999</v>
      </c>
      <c r="EL42" s="25">
        <v>0</v>
      </c>
      <c r="EM42" s="26">
        <v>2587.6999999999998</v>
      </c>
      <c r="EN42" s="26">
        <f t="shared" si="48"/>
        <v>3746.4022645700002</v>
      </c>
      <c r="EO42" s="45"/>
      <c r="EP42" s="36">
        <f t="shared" si="49"/>
        <v>9.7056767731196744E-2</v>
      </c>
      <c r="EQ42" s="33">
        <f t="shared" si="50"/>
        <v>1.3732296261011597E-2</v>
      </c>
      <c r="ER42" s="33">
        <f t="shared" si="51"/>
        <v>3.1176590713332255E-2</v>
      </c>
      <c r="ES42" s="33">
        <f t="shared" si="52"/>
        <v>2.0479006052172018E-2</v>
      </c>
      <c r="ET42" s="33">
        <f t="shared" si="53"/>
        <v>0.12715910262633756</v>
      </c>
      <c r="EU42" s="33">
        <f t="shared" si="54"/>
        <v>1.6619408059520363E-2</v>
      </c>
      <c r="EV42" s="33">
        <f t="shared" si="55"/>
        <v>3.0608249729200273E-3</v>
      </c>
      <c r="EW42" s="33">
        <f t="shared" si="56"/>
        <v>0</v>
      </c>
      <c r="EX42" s="33">
        <f t="shared" si="57"/>
        <v>0.69071600358350937</v>
      </c>
      <c r="EY42" s="39">
        <f t="shared" si="58"/>
        <v>0.99999999999999989</v>
      </c>
      <c r="EZ42" s="45"/>
      <c r="FA42" s="27">
        <v>92.894999999999996</v>
      </c>
      <c r="FB42" s="28">
        <v>0</v>
      </c>
      <c r="FC42" s="42">
        <f t="shared" si="59"/>
        <v>92.894999999999996</v>
      </c>
      <c r="FE42" s="27">
        <f>CB42</f>
        <v>7.7560000000000002</v>
      </c>
      <c r="FF42" s="28">
        <f>CC42</f>
        <v>8.4359999999999999</v>
      </c>
      <c r="FG42" s="42">
        <f t="shared" si="60"/>
        <v>16.192</v>
      </c>
      <c r="FI42" s="53">
        <v>3672.6489999999999</v>
      </c>
      <c r="FJ42" s="54">
        <v>282.14100000000002</v>
      </c>
      <c r="FK42" s="55">
        <v>126.533</v>
      </c>
      <c r="FL42" s="56">
        <f t="shared" si="61"/>
        <v>4081.3229999999999</v>
      </c>
      <c r="FM42" s="57">
        <f t="shared" si="62"/>
        <v>0.89986727343069883</v>
      </c>
      <c r="FN42" s="58">
        <f t="shared" si="63"/>
        <v>6.9129789531482813E-2</v>
      </c>
      <c r="FO42" s="59">
        <f t="shared" si="64"/>
        <v>3.1002937037818375E-2</v>
      </c>
      <c r="FP42" s="61">
        <f t="shared" si="65"/>
        <v>1</v>
      </c>
      <c r="FR42" s="24">
        <f>FV42*E42</f>
        <v>2795.047</v>
      </c>
      <c r="FS42" s="25">
        <f>E42*FW42</f>
        <v>1286.4099999999999</v>
      </c>
      <c r="FT42" s="26">
        <f t="shared" si="66"/>
        <v>4081.4569999999999</v>
      </c>
      <c r="FV42" s="36">
        <v>0.68481598605595995</v>
      </c>
      <c r="FW42" s="33">
        <v>0.31518401394404005</v>
      </c>
      <c r="FX42" s="34">
        <f t="shared" si="67"/>
        <v>1</v>
      </c>
      <c r="FY42" s="45"/>
      <c r="FZ42" s="44">
        <f t="shared" si="68"/>
        <v>724.14499999999998</v>
      </c>
      <c r="GA42" s="25">
        <v>695.79899999999998</v>
      </c>
      <c r="GB42" s="26">
        <v>752.49099999999999</v>
      </c>
      <c r="GD42" s="44">
        <f t="shared" si="69"/>
        <v>3781.6965</v>
      </c>
      <c r="GE42" s="25">
        <v>3481.9360000000001</v>
      </c>
      <c r="GF42" s="26">
        <v>4081.4569999999999</v>
      </c>
      <c r="GH42" s="44">
        <f t="shared" si="70"/>
        <v>1946.4745</v>
      </c>
      <c r="GI42" s="25">
        <v>1828.502</v>
      </c>
      <c r="GJ42" s="26">
        <f>F42</f>
        <v>2064.4470000000001</v>
      </c>
      <c r="GL42" s="44">
        <f t="shared" si="71"/>
        <v>5728.1710000000003</v>
      </c>
      <c r="GM42" s="45">
        <f t="shared" si="72"/>
        <v>5310.4380000000001</v>
      </c>
      <c r="GN42" s="46">
        <f t="shared" si="73"/>
        <v>6145.9040000000005</v>
      </c>
      <c r="GP42" s="44">
        <f t="shared" si="74"/>
        <v>3212.3500000000004</v>
      </c>
      <c r="GQ42" s="25">
        <v>2940.7080000000001</v>
      </c>
      <c r="GR42" s="26">
        <f>G42</f>
        <v>3483.9920000000002</v>
      </c>
      <c r="GS42" s="25"/>
      <c r="GT42" s="44">
        <f t="shared" si="75"/>
        <v>4729.9059999999999</v>
      </c>
      <c r="GU42" s="25">
        <v>4345.9740000000002</v>
      </c>
      <c r="GV42" s="26">
        <f>C42</f>
        <v>5113.8379999999997</v>
      </c>
      <c r="GW42" s="25"/>
      <c r="GX42" s="61">
        <f>DX42/C42</f>
        <v>0.50025147452852436</v>
      </c>
      <c r="GY42" s="62"/>
    </row>
    <row r="43" spans="1:207" x14ac:dyDescent="0.25">
      <c r="A43" s="1"/>
      <c r="B43" s="23" t="s">
        <v>214</v>
      </c>
      <c r="C43" s="24">
        <v>9884.6540000000005</v>
      </c>
      <c r="D43" s="25">
        <f t="shared" si="0"/>
        <v>9430.674500000001</v>
      </c>
      <c r="E43" s="25">
        <v>8172.1850000000004</v>
      </c>
      <c r="F43" s="25">
        <v>1264.0119999999999</v>
      </c>
      <c r="G43" s="25">
        <v>6427.1139999999996</v>
      </c>
      <c r="H43" s="25">
        <f t="shared" si="1"/>
        <v>11148.666000000001</v>
      </c>
      <c r="I43" s="26">
        <f t="shared" si="2"/>
        <v>9436.1970000000001</v>
      </c>
      <c r="J43" s="25"/>
      <c r="K43" s="27">
        <v>103.28999999999999</v>
      </c>
      <c r="L43" s="28">
        <v>24.555</v>
      </c>
      <c r="M43" s="28">
        <v>1.8359999999999999</v>
      </c>
      <c r="N43" s="29">
        <f t="shared" si="3"/>
        <v>129.68100000000001</v>
      </c>
      <c r="O43" s="28">
        <v>78.004999999999995</v>
      </c>
      <c r="P43" s="29">
        <f t="shared" si="4"/>
        <v>51.676000000000016</v>
      </c>
      <c r="Q43" s="28">
        <v>2.2450000000000001</v>
      </c>
      <c r="R43" s="29">
        <f t="shared" si="5"/>
        <v>49.431000000000019</v>
      </c>
      <c r="S43" s="28">
        <v>12.296999999999999</v>
      </c>
      <c r="T43" s="28">
        <v>0.43200000000000005</v>
      </c>
      <c r="U43" s="28">
        <v>0</v>
      </c>
      <c r="V43" s="29">
        <f t="shared" si="6"/>
        <v>62.160000000000018</v>
      </c>
      <c r="W43" s="28">
        <v>13</v>
      </c>
      <c r="X43" s="30">
        <f t="shared" si="7"/>
        <v>49.160000000000018</v>
      </c>
      <c r="Y43" s="28"/>
      <c r="Z43" s="31">
        <f t="shared" si="8"/>
        <v>2.190511399794362E-2</v>
      </c>
      <c r="AA43" s="32">
        <f t="shared" si="9"/>
        <v>5.2074748205974018E-3</v>
      </c>
      <c r="AB43" s="33">
        <f t="shared" si="10"/>
        <v>0.54774945579664347</v>
      </c>
      <c r="AC43" s="33">
        <f t="shared" si="11"/>
        <v>0.54941610672075947</v>
      </c>
      <c r="AD43" s="33">
        <f t="shared" si="12"/>
        <v>0.60151448554529952</v>
      </c>
      <c r="AE43" s="32">
        <f t="shared" si="13"/>
        <v>1.6542825224219113E-2</v>
      </c>
      <c r="AF43" s="32">
        <f t="shared" si="14"/>
        <v>1.0425553336614473E-2</v>
      </c>
      <c r="AG43" s="32">
        <f>X43/DV43*2</f>
        <v>2.0602816793977914E-2</v>
      </c>
      <c r="AH43" s="32">
        <f>(P43+S43+T43)/DV43*2</f>
        <v>2.6991953124819924E-2</v>
      </c>
      <c r="AI43" s="32">
        <f>R43/DV43*2</f>
        <v>2.0716392126589142E-2</v>
      </c>
      <c r="AJ43" s="34">
        <f>X43/FZ43*2</f>
        <v>0.10107676776399525</v>
      </c>
      <c r="AK43" s="35"/>
      <c r="AL43" s="36">
        <f t="shared" si="15"/>
        <v>8.0472916996649518E-2</v>
      </c>
      <c r="AM43" s="33">
        <f t="shared" si="16"/>
        <v>8.0709914012286638E-2</v>
      </c>
      <c r="AN43" s="34">
        <f t="shared" si="17"/>
        <v>9.7662943354799442E-2</v>
      </c>
      <c r="AO43" s="28"/>
      <c r="AP43" s="36">
        <f t="shared" si="18"/>
        <v>0.78646212732580079</v>
      </c>
      <c r="AQ43" s="33">
        <f t="shared" si="19"/>
        <v>0.73134708283943339</v>
      </c>
      <c r="AR43" s="33">
        <f t="shared" si="20"/>
        <v>0.10725726970311762</v>
      </c>
      <c r="AS43" s="33">
        <f t="shared" si="21"/>
        <v>0.27993746670343744</v>
      </c>
      <c r="AT43" s="33">
        <f t="shared" si="22"/>
        <v>0.13159125246063239</v>
      </c>
      <c r="AU43" s="37">
        <v>2.46</v>
      </c>
      <c r="AV43" s="38">
        <v>1.42</v>
      </c>
      <c r="AW43" s="28"/>
      <c r="AX43" s="36">
        <f>GB43/C43</f>
        <v>0.10425099350973741</v>
      </c>
      <c r="AY43" s="33">
        <v>0.10390000000000001</v>
      </c>
      <c r="AZ43" s="33">
        <f t="shared" si="23"/>
        <v>0.19757338744995961</v>
      </c>
      <c r="BA43" s="33">
        <f t="shared" si="24"/>
        <v>0.2191624670766536</v>
      </c>
      <c r="BB43" s="34">
        <f t="shared" si="25"/>
        <v>0.24383570093573242</v>
      </c>
      <c r="BC43" s="33"/>
      <c r="BD43" s="36">
        <f t="shared" si="26"/>
        <v>0.18272791343468314</v>
      </c>
      <c r="BE43" s="33">
        <f t="shared" si="27"/>
        <v>0.20437535289030645</v>
      </c>
      <c r="BF43" s="34">
        <f t="shared" si="28"/>
        <v>0.22944185427494443</v>
      </c>
      <c r="BG43" s="25"/>
      <c r="BH43" s="39">
        <v>3.1E-2</v>
      </c>
      <c r="BI43" s="36">
        <f t="shared" si="29"/>
        <v>1.7437500000000002E-2</v>
      </c>
      <c r="BJ43" s="34">
        <f t="shared" si="30"/>
        <v>2.325E-2</v>
      </c>
      <c r="BK43" s="65">
        <v>1.2500000000000001E-2</v>
      </c>
      <c r="BL43" s="33"/>
      <c r="BM43" s="39">
        <f t="shared" si="31"/>
        <v>2.5290413434683134E-2</v>
      </c>
      <c r="BN43" s="34">
        <f t="shared" si="32"/>
        <v>2.6125352890306458E-2</v>
      </c>
      <c r="BO43" s="34">
        <f t="shared" si="33"/>
        <v>2.3441854274944413E-2</v>
      </c>
      <c r="BP43" s="28"/>
      <c r="BQ43" s="31">
        <f>Q43/GD43*2</f>
        <v>5.7067646959200005E-4</v>
      </c>
      <c r="BR43" s="33">
        <f t="shared" si="34"/>
        <v>3.4857542116295312E-2</v>
      </c>
      <c r="BS43" s="32">
        <f>FC43/E43</f>
        <v>4.6419776351122738E-2</v>
      </c>
      <c r="BT43" s="33">
        <f t="shared" si="35"/>
        <v>0.34872525100613888</v>
      </c>
      <c r="BU43" s="33">
        <f t="shared" si="36"/>
        <v>0.69407912326997001</v>
      </c>
      <c r="BV43" s="34">
        <f t="shared" si="37"/>
        <v>0.73505830791790372</v>
      </c>
      <c r="BW43" s="28"/>
      <c r="BX43" s="27">
        <v>95.905000000000001</v>
      </c>
      <c r="BY43" s="28">
        <v>256.755</v>
      </c>
      <c r="BZ43" s="29">
        <f t="shared" si="38"/>
        <v>352.65999999999997</v>
      </c>
      <c r="CA43" s="25">
        <v>8172.1850000000004</v>
      </c>
      <c r="CB43" s="28">
        <v>45.993000000000002</v>
      </c>
      <c r="CC43" s="28">
        <v>11.343999999999999</v>
      </c>
      <c r="CD43" s="29">
        <f t="shared" si="39"/>
        <v>8114.848</v>
      </c>
      <c r="CE43" s="28">
        <v>942.16700000000003</v>
      </c>
      <c r="CF43" s="28">
        <v>258.14999999999998</v>
      </c>
      <c r="CG43" s="29">
        <f t="shared" si="40"/>
        <v>1200.317</v>
      </c>
      <c r="CH43" s="28">
        <v>45.942999999999998</v>
      </c>
      <c r="CI43" s="28">
        <v>0</v>
      </c>
      <c r="CJ43" s="28">
        <v>161.72200000000001</v>
      </c>
      <c r="CK43" s="28">
        <v>9.164000000000641</v>
      </c>
      <c r="CL43" s="29">
        <f t="shared" si="41"/>
        <v>9884.6540000000005</v>
      </c>
      <c r="CM43" s="28">
        <v>151.75200000000001</v>
      </c>
      <c r="CN43" s="25">
        <v>6427.1139999999996</v>
      </c>
      <c r="CO43" s="29">
        <f t="shared" si="42"/>
        <v>6578.866</v>
      </c>
      <c r="CP43" s="28">
        <v>1983.327</v>
      </c>
      <c r="CQ43" s="28">
        <v>66.120000000000573</v>
      </c>
      <c r="CR43" s="29">
        <f t="shared" si="43"/>
        <v>2049.4470000000006</v>
      </c>
      <c r="CS43" s="28">
        <v>225.85599999999999</v>
      </c>
      <c r="CT43" s="28">
        <v>1030.4849999999999</v>
      </c>
      <c r="CU43" s="42">
        <f t="shared" si="44"/>
        <v>9884.6540000000005</v>
      </c>
      <c r="CV43" s="28"/>
      <c r="CW43" s="43">
        <v>1300.7339999999999</v>
      </c>
      <c r="CX43" s="28"/>
      <c r="CY43" s="24">
        <v>475</v>
      </c>
      <c r="CZ43" s="25">
        <v>725</v>
      </c>
      <c r="DA43" s="25">
        <v>600</v>
      </c>
      <c r="DB43" s="25">
        <v>300</v>
      </c>
      <c r="DC43" s="25">
        <v>100</v>
      </c>
      <c r="DD43" s="25">
        <v>0</v>
      </c>
      <c r="DE43" s="26">
        <f t="shared" si="45"/>
        <v>2200</v>
      </c>
      <c r="DF43" s="34">
        <f t="shared" si="46"/>
        <v>0.22256722390080622</v>
      </c>
      <c r="DG43" s="68"/>
      <c r="DH43" s="44" t="s">
        <v>236</v>
      </c>
      <c r="DI43" s="45">
        <v>73</v>
      </c>
      <c r="DJ43" s="46">
        <v>6</v>
      </c>
      <c r="DK43" s="45" t="s">
        <v>168</v>
      </c>
      <c r="DL43" s="47" t="s">
        <v>169</v>
      </c>
      <c r="DM43" s="48" t="s">
        <v>172</v>
      </c>
      <c r="DN43" s="39">
        <v>0.53283029728554487</v>
      </c>
      <c r="DO43" s="66" t="s">
        <v>178</v>
      </c>
      <c r="DP43" s="67" t="s">
        <v>179</v>
      </c>
      <c r="DQ43" s="25"/>
      <c r="DR43" s="24">
        <v>960.91200000000003</v>
      </c>
      <c r="DS43" s="25">
        <v>1065.912</v>
      </c>
      <c r="DT43" s="26">
        <v>1185.912</v>
      </c>
      <c r="DU43" s="25"/>
      <c r="DV43" s="44">
        <f t="shared" si="47"/>
        <v>4772.1630000000005</v>
      </c>
      <c r="DW43" s="25">
        <v>4680.7560000000003</v>
      </c>
      <c r="DX43" s="26">
        <v>4863.57</v>
      </c>
      <c r="DY43" s="25"/>
      <c r="DZ43" s="24">
        <v>956.96600000000001</v>
      </c>
      <c r="EA43" s="25">
        <v>1070.336</v>
      </c>
      <c r="EB43" s="25">
        <v>1201.6120000000001</v>
      </c>
      <c r="EC43" s="26">
        <v>5237.1090000000004</v>
      </c>
      <c r="ED43" s="25"/>
      <c r="EE43" s="24">
        <v>418.79499999999996</v>
      </c>
      <c r="EF43" s="25">
        <v>97.831000000000003</v>
      </c>
      <c r="EG43" s="25">
        <v>248.64099999999999</v>
      </c>
      <c r="EH43" s="25">
        <v>172.89</v>
      </c>
      <c r="EI43" s="25">
        <v>1199.454</v>
      </c>
      <c r="EJ43" s="25">
        <v>149.96899999999999</v>
      </c>
      <c r="EK43" s="25">
        <v>66.454000000000008</v>
      </c>
      <c r="EL43" s="25">
        <v>117.446</v>
      </c>
      <c r="EM43" s="26">
        <v>5430.8379999999997</v>
      </c>
      <c r="EN43" s="26">
        <f t="shared" si="48"/>
        <v>7902.3180000000002</v>
      </c>
      <c r="EO43" s="45"/>
      <c r="EP43" s="36">
        <f t="shared" si="49"/>
        <v>5.2996475211450608E-2</v>
      </c>
      <c r="EQ43" s="33">
        <f t="shared" si="50"/>
        <v>1.2380038363427034E-2</v>
      </c>
      <c r="ER43" s="33">
        <f t="shared" si="51"/>
        <v>3.1464312117026924E-2</v>
      </c>
      <c r="ES43" s="33">
        <f t="shared" si="52"/>
        <v>2.1878390619056332E-2</v>
      </c>
      <c r="ET43" s="33">
        <f t="shared" si="53"/>
        <v>0.15178508381970959</v>
      </c>
      <c r="EU43" s="33">
        <f t="shared" si="54"/>
        <v>1.8977849284222678E-2</v>
      </c>
      <c r="EV43" s="33">
        <f t="shared" si="55"/>
        <v>8.4094312580182181E-3</v>
      </c>
      <c r="EW43" s="33">
        <f t="shared" si="56"/>
        <v>1.4862221439329573E-2</v>
      </c>
      <c r="EX43" s="33">
        <f t="shared" si="57"/>
        <v>0.68724619788775898</v>
      </c>
      <c r="EY43" s="39">
        <f t="shared" si="58"/>
        <v>0.99999999999999989</v>
      </c>
      <c r="EZ43" s="45"/>
      <c r="FA43" s="27">
        <v>125.542</v>
      </c>
      <c r="FB43" s="28">
        <v>253.809</v>
      </c>
      <c r="FC43" s="42">
        <f t="shared" si="59"/>
        <v>379.351</v>
      </c>
      <c r="FE43" s="27">
        <f>CB43</f>
        <v>45.993000000000002</v>
      </c>
      <c r="FF43" s="28">
        <f>CC43</f>
        <v>11.343999999999999</v>
      </c>
      <c r="FG43" s="42">
        <f t="shared" si="60"/>
        <v>57.337000000000003</v>
      </c>
      <c r="FI43" s="53">
        <v>7075.9920000000002</v>
      </c>
      <c r="FJ43" s="54">
        <v>726.048</v>
      </c>
      <c r="FK43" s="55">
        <v>370.13499999999999</v>
      </c>
      <c r="FL43" s="56">
        <f t="shared" si="61"/>
        <v>8172.1750000000002</v>
      </c>
      <c r="FM43" s="57">
        <f t="shared" si="62"/>
        <v>0.86586398357842309</v>
      </c>
      <c r="FN43" s="58">
        <f t="shared" si="63"/>
        <v>8.8843912422335539E-2</v>
      </c>
      <c r="FO43" s="59">
        <f t="shared" si="64"/>
        <v>4.5292103999241329E-2</v>
      </c>
      <c r="FP43" s="61">
        <f t="shared" si="65"/>
        <v>1</v>
      </c>
      <c r="FR43" s="24">
        <f>FV43*E43</f>
        <v>5672.143</v>
      </c>
      <c r="FS43" s="25">
        <f>E43*FW43</f>
        <v>2500.0420000000004</v>
      </c>
      <c r="FT43" s="26">
        <f t="shared" si="66"/>
        <v>8172.1850000000004</v>
      </c>
      <c r="FV43" s="36">
        <v>0.69407912326997001</v>
      </c>
      <c r="FW43" s="33">
        <v>0.30592087673002999</v>
      </c>
      <c r="FX43" s="34">
        <f t="shared" si="67"/>
        <v>1</v>
      </c>
      <c r="FY43" s="45"/>
      <c r="FZ43" s="44">
        <f t="shared" si="68"/>
        <v>972.72599999999989</v>
      </c>
      <c r="GA43" s="25">
        <v>914.96699999999998</v>
      </c>
      <c r="GB43" s="26">
        <v>1030.4849999999999</v>
      </c>
      <c r="GD43" s="44">
        <f t="shared" si="69"/>
        <v>7867.8554999999997</v>
      </c>
      <c r="GE43" s="25">
        <v>7563.5259999999998</v>
      </c>
      <c r="GF43" s="26">
        <v>8172.1850000000004</v>
      </c>
      <c r="GH43" s="44">
        <f t="shared" si="70"/>
        <v>1215.9829999999999</v>
      </c>
      <c r="GI43" s="25">
        <v>1167.954</v>
      </c>
      <c r="GJ43" s="26">
        <f>F43</f>
        <v>1264.0119999999999</v>
      </c>
      <c r="GL43" s="44">
        <f t="shared" si="71"/>
        <v>9083.8384999999998</v>
      </c>
      <c r="GM43" s="45">
        <f t="shared" si="72"/>
        <v>8731.48</v>
      </c>
      <c r="GN43" s="46">
        <f t="shared" si="73"/>
        <v>9436.1970000000001</v>
      </c>
      <c r="GP43" s="44">
        <f t="shared" si="74"/>
        <v>6141.1924999999992</v>
      </c>
      <c r="GQ43" s="25">
        <v>5855.2709999999997</v>
      </c>
      <c r="GR43" s="26">
        <f>G43</f>
        <v>6427.1139999999996</v>
      </c>
      <c r="GS43" s="25"/>
      <c r="GT43" s="44">
        <f t="shared" si="75"/>
        <v>9430.674500000001</v>
      </c>
      <c r="GU43" s="25">
        <v>8976.6949999999997</v>
      </c>
      <c r="GV43" s="26">
        <f>C43</f>
        <v>9884.6540000000005</v>
      </c>
      <c r="GW43" s="25"/>
      <c r="GX43" s="61">
        <f>DX43/C43</f>
        <v>0.49203239688511097</v>
      </c>
      <c r="GY43" s="62"/>
    </row>
    <row r="44" spans="1:207" x14ac:dyDescent="0.25">
      <c r="A44" s="1"/>
      <c r="B44" s="23" t="s">
        <v>215</v>
      </c>
      <c r="C44" s="24">
        <v>3336.8829999999998</v>
      </c>
      <c r="D44" s="25">
        <f t="shared" si="0"/>
        <v>3238.2925</v>
      </c>
      <c r="E44" s="25">
        <v>2543.3670000000002</v>
      </c>
      <c r="F44" s="25">
        <v>198.59899999999999</v>
      </c>
      <c r="G44" s="25">
        <v>2836.7559999999999</v>
      </c>
      <c r="H44" s="25">
        <f t="shared" si="1"/>
        <v>3535.482</v>
      </c>
      <c r="I44" s="26">
        <f t="shared" si="2"/>
        <v>2741.9660000000003</v>
      </c>
      <c r="J44" s="25"/>
      <c r="K44" s="27">
        <v>41.981999999999999</v>
      </c>
      <c r="L44" s="28">
        <v>6.734</v>
      </c>
      <c r="M44" s="28">
        <v>6.3E-2</v>
      </c>
      <c r="N44" s="29">
        <f t="shared" si="3"/>
        <v>48.779000000000003</v>
      </c>
      <c r="O44" s="28">
        <v>24.021000000000001</v>
      </c>
      <c r="P44" s="29">
        <f t="shared" si="4"/>
        <v>24.758000000000003</v>
      </c>
      <c r="Q44" s="28">
        <v>3.0019999999999998</v>
      </c>
      <c r="R44" s="29">
        <f t="shared" si="5"/>
        <v>21.756000000000004</v>
      </c>
      <c r="S44" s="28">
        <v>6.7290000000000001</v>
      </c>
      <c r="T44" s="28">
        <v>0.7390000000000001</v>
      </c>
      <c r="U44" s="28">
        <v>0</v>
      </c>
      <c r="V44" s="29">
        <f t="shared" si="6"/>
        <v>29.224000000000004</v>
      </c>
      <c r="W44" s="28">
        <v>5.98</v>
      </c>
      <c r="X44" s="30">
        <f t="shared" si="7"/>
        <v>23.244000000000003</v>
      </c>
      <c r="Y44" s="28"/>
      <c r="Z44" s="31">
        <f t="shared" si="8"/>
        <v>2.5928479283449532E-2</v>
      </c>
      <c r="AA44" s="32">
        <f t="shared" si="9"/>
        <v>4.1589819326080021E-3</v>
      </c>
      <c r="AB44" s="33">
        <f t="shared" si="10"/>
        <v>0.42706277668142301</v>
      </c>
      <c r="AC44" s="33">
        <f t="shared" si="11"/>
        <v>0.43274843265835555</v>
      </c>
      <c r="AD44" s="33">
        <f t="shared" si="12"/>
        <v>0.49244551958834742</v>
      </c>
      <c r="AE44" s="32">
        <f t="shared" si="13"/>
        <v>1.4835596228567989E-2</v>
      </c>
      <c r="AF44" s="32">
        <f t="shared" si="14"/>
        <v>1.4355713697882451E-2</v>
      </c>
      <c r="AG44" s="32">
        <f>X44/DV44*2</f>
        <v>2.931378576495626E-2</v>
      </c>
      <c r="AH44" s="32">
        <f>(P44+S44+T44)/DV44*2</f>
        <v>4.0641286356112555E-2</v>
      </c>
      <c r="AI44" s="32">
        <f>R44/DV44*2</f>
        <v>2.7437219200756684E-2</v>
      </c>
      <c r="AJ44" s="34">
        <f>X44/FZ44*2</f>
        <v>0.11324850089708659</v>
      </c>
      <c r="AK44" s="35"/>
      <c r="AL44" s="36">
        <f t="shared" si="15"/>
        <v>1.0618104659179268E-2</v>
      </c>
      <c r="AM44" s="33">
        <f t="shared" si="16"/>
        <v>1.8526112777720913E-2</v>
      </c>
      <c r="AN44" s="34">
        <f t="shared" si="17"/>
        <v>4.727233527115686E-2</v>
      </c>
      <c r="AO44" s="28"/>
      <c r="AP44" s="36">
        <f t="shared" si="18"/>
        <v>1.1153545673903922</v>
      </c>
      <c r="AQ44" s="33">
        <f t="shared" si="19"/>
        <v>0.97459178372851729</v>
      </c>
      <c r="AR44" s="33">
        <f t="shared" si="20"/>
        <v>-0.18281941560432291</v>
      </c>
      <c r="AS44" s="33">
        <f t="shared" si="21"/>
        <v>4.285061837649088E-2</v>
      </c>
      <c r="AT44" s="33">
        <f t="shared" si="22"/>
        <v>0.20498261401433612</v>
      </c>
      <c r="AU44" s="37">
        <v>3.08</v>
      </c>
      <c r="AV44" s="38">
        <v>1.4</v>
      </c>
      <c r="AW44" s="28"/>
      <c r="AX44" s="36">
        <f>GB44/C44</f>
        <v>0.12870783902222524</v>
      </c>
      <c r="AY44" s="33">
        <v>0.1135</v>
      </c>
      <c r="AZ44" s="33">
        <f t="shared" si="23"/>
        <v>0.26050829062603487</v>
      </c>
      <c r="BA44" s="33">
        <f t="shared" si="24"/>
        <v>0.26050829062603487</v>
      </c>
      <c r="BB44" s="34">
        <f t="shared" si="25"/>
        <v>0.28018151831413551</v>
      </c>
      <c r="BC44" s="33"/>
      <c r="BD44" s="36">
        <f t="shared" si="26"/>
        <v>0.24676822942179819</v>
      </c>
      <c r="BE44" s="33">
        <f t="shared" si="27"/>
        <v>0.24789865830651706</v>
      </c>
      <c r="BF44" s="34">
        <f t="shared" si="28"/>
        <v>0.26826333466472735</v>
      </c>
      <c r="BG44" s="25"/>
      <c r="BH44" s="39">
        <v>2.3E-2</v>
      </c>
      <c r="BI44" s="36">
        <f t="shared" si="29"/>
        <v>1.2937499999999999E-2</v>
      </c>
      <c r="BJ44" s="34">
        <f t="shared" si="30"/>
        <v>1.7250000000000001E-2</v>
      </c>
      <c r="BK44" s="39">
        <v>1.4999999999999999E-2</v>
      </c>
      <c r="BL44" s="33"/>
      <c r="BM44" s="39">
        <f t="shared" si="31"/>
        <v>9.3830729421798181E-2</v>
      </c>
      <c r="BN44" s="34">
        <f t="shared" si="32"/>
        <v>7.5648658306517041E-2</v>
      </c>
      <c r="BO44" s="34">
        <f t="shared" si="33"/>
        <v>7.0263334664727339E-2</v>
      </c>
      <c r="BP44" s="28"/>
      <c r="BQ44" s="31">
        <f>Q44/GD44*2</f>
        <v>2.3731169016990468E-3</v>
      </c>
      <c r="BR44" s="33">
        <f t="shared" si="34"/>
        <v>9.3154595668094087E-2</v>
      </c>
      <c r="BS44" s="32">
        <f>FC44/E44</f>
        <v>3.0250844648059043E-2</v>
      </c>
      <c r="BT44" s="33">
        <f t="shared" si="35"/>
        <v>0.17385419467674765</v>
      </c>
      <c r="BU44" s="33">
        <f t="shared" si="36"/>
        <v>0.80170065900831455</v>
      </c>
      <c r="BV44" s="34">
        <f t="shared" si="37"/>
        <v>0.81606336475361096</v>
      </c>
      <c r="BW44" s="28"/>
      <c r="BX44" s="27">
        <v>78.283000000000001</v>
      </c>
      <c r="BY44" s="28">
        <v>195.55199999999999</v>
      </c>
      <c r="BZ44" s="29">
        <f t="shared" si="38"/>
        <v>273.83499999999998</v>
      </c>
      <c r="CA44" s="25">
        <v>2543.3670000000002</v>
      </c>
      <c r="CB44" s="28">
        <v>9.4849999999999994</v>
      </c>
      <c r="CC44" s="28">
        <v>3.581</v>
      </c>
      <c r="CD44" s="29">
        <f t="shared" si="39"/>
        <v>2530.3009999999999</v>
      </c>
      <c r="CE44" s="28">
        <v>410.16800000000001</v>
      </c>
      <c r="CF44" s="28">
        <v>107.723</v>
      </c>
      <c r="CG44" s="29">
        <f t="shared" si="40"/>
        <v>517.89099999999996</v>
      </c>
      <c r="CH44" s="28">
        <v>0.55000000000000004</v>
      </c>
      <c r="CI44" s="28">
        <v>0</v>
      </c>
      <c r="CJ44" s="28">
        <v>9.5470000000000006</v>
      </c>
      <c r="CK44" s="28">
        <v>4.7589999999998795</v>
      </c>
      <c r="CL44" s="29">
        <f t="shared" si="41"/>
        <v>3336.8830000000003</v>
      </c>
      <c r="CM44" s="28">
        <v>43.688000000000002</v>
      </c>
      <c r="CN44" s="25">
        <v>2836.7559999999999</v>
      </c>
      <c r="CO44" s="29">
        <f t="shared" si="42"/>
        <v>2880.444</v>
      </c>
      <c r="CP44" s="28">
        <v>0</v>
      </c>
      <c r="CQ44" s="28">
        <v>-3.3120000000001824</v>
      </c>
      <c r="CR44" s="29">
        <f t="shared" si="43"/>
        <v>-3.3120000000001824</v>
      </c>
      <c r="CS44" s="28">
        <v>30.268000000000001</v>
      </c>
      <c r="CT44" s="28">
        <v>429.483</v>
      </c>
      <c r="CU44" s="42">
        <f t="shared" si="44"/>
        <v>3336.8829999999998</v>
      </c>
      <c r="CV44" s="28"/>
      <c r="CW44" s="43">
        <v>684.00299999999993</v>
      </c>
      <c r="CX44" s="28"/>
      <c r="CY44" s="24">
        <v>0</v>
      </c>
      <c r="CZ44" s="25">
        <v>20</v>
      </c>
      <c r="DA44" s="25">
        <v>0</v>
      </c>
      <c r="DB44" s="25">
        <v>0</v>
      </c>
      <c r="DC44" s="25">
        <v>0</v>
      </c>
      <c r="DD44" s="25">
        <v>30</v>
      </c>
      <c r="DE44" s="26">
        <f t="shared" si="45"/>
        <v>50</v>
      </c>
      <c r="DF44" s="34">
        <f t="shared" si="46"/>
        <v>1.4984043492085279E-2</v>
      </c>
      <c r="DG44" s="68"/>
      <c r="DH44" s="44" t="s">
        <v>229</v>
      </c>
      <c r="DI44" s="45">
        <v>27.5</v>
      </c>
      <c r="DJ44" s="46">
        <v>4</v>
      </c>
      <c r="DK44" s="45" t="s">
        <v>168</v>
      </c>
      <c r="DL44" s="44"/>
      <c r="DM44" s="45"/>
      <c r="DN44" s="39" t="s">
        <v>224</v>
      </c>
      <c r="DO44" s="36"/>
      <c r="DP44" s="34"/>
      <c r="DQ44" s="25"/>
      <c r="DR44" s="24">
        <v>397.25299999999999</v>
      </c>
      <c r="DS44" s="25">
        <v>397.25299999999999</v>
      </c>
      <c r="DT44" s="26">
        <v>427.25299999999999</v>
      </c>
      <c r="DU44" s="25"/>
      <c r="DV44" s="44">
        <f t="shared" si="47"/>
        <v>1585.875</v>
      </c>
      <c r="DW44" s="25">
        <v>1646.835</v>
      </c>
      <c r="DX44" s="26">
        <v>1524.915</v>
      </c>
      <c r="DY44" s="25"/>
      <c r="DZ44" s="24">
        <v>392.93299999999999</v>
      </c>
      <c r="EA44" s="25">
        <v>394.733</v>
      </c>
      <c r="EB44" s="25">
        <v>427.16</v>
      </c>
      <c r="EC44" s="26">
        <v>1592.316</v>
      </c>
      <c r="ED44" s="25"/>
      <c r="EE44" s="24">
        <v>125.37739965999999</v>
      </c>
      <c r="EF44" s="25">
        <v>40.751364780000003</v>
      </c>
      <c r="EG44" s="25">
        <v>141.45848730999978</v>
      </c>
      <c r="EH44" s="25">
        <v>61</v>
      </c>
      <c r="EI44" s="25">
        <v>89.609254060000012</v>
      </c>
      <c r="EJ44" s="25">
        <v>42.75849419</v>
      </c>
      <c r="EK44" s="25">
        <v>17</v>
      </c>
      <c r="EL44" s="25">
        <v>0</v>
      </c>
      <c r="EM44" s="26">
        <v>2081.9250000000002</v>
      </c>
      <c r="EN44" s="26">
        <f t="shared" si="48"/>
        <v>2599.88</v>
      </c>
      <c r="EO44" s="45"/>
      <c r="EP44" s="36">
        <f t="shared" si="49"/>
        <v>4.8224302529347507E-2</v>
      </c>
      <c r="EQ44" s="33">
        <f t="shared" si="50"/>
        <v>1.5674325268858563E-2</v>
      </c>
      <c r="ER44" s="33">
        <f t="shared" si="51"/>
        <v>5.440962171715609E-2</v>
      </c>
      <c r="ES44" s="33">
        <f t="shared" si="52"/>
        <v>2.3462621351754694E-2</v>
      </c>
      <c r="ET44" s="33">
        <f t="shared" si="53"/>
        <v>3.446668848562242E-2</v>
      </c>
      <c r="EU44" s="33">
        <f t="shared" si="54"/>
        <v>1.6446333750019231E-2</v>
      </c>
      <c r="EV44" s="33">
        <f t="shared" si="55"/>
        <v>6.538763327538194E-3</v>
      </c>
      <c r="EW44" s="33">
        <f t="shared" si="56"/>
        <v>0</v>
      </c>
      <c r="EX44" s="33">
        <f t="shared" si="57"/>
        <v>0.8007773435697032</v>
      </c>
      <c r="EY44" s="39">
        <f t="shared" si="58"/>
        <v>0.99999999999999989</v>
      </c>
      <c r="EZ44" s="45"/>
      <c r="FA44" s="27">
        <v>17.988</v>
      </c>
      <c r="FB44" s="28">
        <v>58.950999999999993</v>
      </c>
      <c r="FC44" s="42">
        <f t="shared" si="59"/>
        <v>76.938999999999993</v>
      </c>
      <c r="FE44" s="27">
        <f>CB44</f>
        <v>9.4849999999999994</v>
      </c>
      <c r="FF44" s="28">
        <f>CC44</f>
        <v>3.581</v>
      </c>
      <c r="FG44" s="42">
        <f t="shared" si="60"/>
        <v>13.065999999999999</v>
      </c>
      <c r="FI44" s="53">
        <v>2241.723</v>
      </c>
      <c r="FJ44" s="54">
        <v>229.86500000000001</v>
      </c>
      <c r="FK44" s="55">
        <v>73.805999999999997</v>
      </c>
      <c r="FL44" s="56">
        <f t="shared" si="61"/>
        <v>2545.3939999999998</v>
      </c>
      <c r="FM44" s="57">
        <f t="shared" si="62"/>
        <v>0.88069784088435821</v>
      </c>
      <c r="FN44" s="58">
        <f t="shared" si="63"/>
        <v>9.030625514164016E-2</v>
      </c>
      <c r="FO44" s="59">
        <f t="shared" si="64"/>
        <v>2.8995903974001667E-2</v>
      </c>
      <c r="FP44" s="61">
        <f t="shared" si="65"/>
        <v>1</v>
      </c>
      <c r="FR44" s="24">
        <f>FV44*E44</f>
        <v>2039.019</v>
      </c>
      <c r="FS44" s="25">
        <f>E44*FW44</f>
        <v>504.34800000000007</v>
      </c>
      <c r="FT44" s="26">
        <f t="shared" si="66"/>
        <v>2543.3670000000002</v>
      </c>
      <c r="FV44" s="36">
        <v>0.80170065900831455</v>
      </c>
      <c r="FW44" s="33">
        <v>0.19829934099168545</v>
      </c>
      <c r="FX44" s="34">
        <f t="shared" si="67"/>
        <v>1</v>
      </c>
      <c r="FY44" s="45"/>
      <c r="FZ44" s="44">
        <f t="shared" si="68"/>
        <v>410.49549999999999</v>
      </c>
      <c r="GA44" s="25">
        <v>391.50799999999998</v>
      </c>
      <c r="GB44" s="26">
        <v>429.483</v>
      </c>
      <c r="GD44" s="44">
        <f t="shared" si="69"/>
        <v>2530.0060000000003</v>
      </c>
      <c r="GE44" s="25">
        <v>2516.645</v>
      </c>
      <c r="GF44" s="26">
        <v>2543.3670000000002</v>
      </c>
      <c r="GH44" s="44">
        <f t="shared" si="70"/>
        <v>187.023</v>
      </c>
      <c r="GI44" s="25">
        <v>175.447</v>
      </c>
      <c r="GJ44" s="26">
        <f>F44</f>
        <v>198.59899999999999</v>
      </c>
      <c r="GL44" s="44">
        <f t="shared" si="71"/>
        <v>2717.0290000000005</v>
      </c>
      <c r="GM44" s="45">
        <f t="shared" si="72"/>
        <v>2692.0920000000001</v>
      </c>
      <c r="GN44" s="46">
        <f t="shared" si="73"/>
        <v>2741.9660000000003</v>
      </c>
      <c r="GP44" s="44">
        <f t="shared" si="74"/>
        <v>2772.7325000000001</v>
      </c>
      <c r="GQ44" s="25">
        <v>2708.7089999999998</v>
      </c>
      <c r="GR44" s="26">
        <f>G44</f>
        <v>2836.7559999999999</v>
      </c>
      <c r="GS44" s="25"/>
      <c r="GT44" s="44">
        <f t="shared" si="75"/>
        <v>3238.2925</v>
      </c>
      <c r="GU44" s="25">
        <v>3139.7020000000002</v>
      </c>
      <c r="GV44" s="26">
        <f>C44</f>
        <v>3336.8829999999998</v>
      </c>
      <c r="GW44" s="25"/>
      <c r="GX44" s="61">
        <f>DX44/C44</f>
        <v>0.45698785363466449</v>
      </c>
      <c r="GY44" s="62"/>
    </row>
    <row r="45" spans="1:207" ht="13.5" customHeight="1" x14ac:dyDescent="0.25">
      <c r="A45" s="1"/>
      <c r="B45" s="23" t="s">
        <v>216</v>
      </c>
      <c r="C45" s="24">
        <v>2491.752</v>
      </c>
      <c r="D45" s="25">
        <f t="shared" si="0"/>
        <v>2404.8789999999999</v>
      </c>
      <c r="E45" s="25">
        <v>1849.665</v>
      </c>
      <c r="F45" s="25">
        <v>1009.751</v>
      </c>
      <c r="G45" s="25">
        <v>1933.2370000000001</v>
      </c>
      <c r="H45" s="25">
        <f t="shared" si="1"/>
        <v>3501.5029999999997</v>
      </c>
      <c r="I45" s="26">
        <f t="shared" si="2"/>
        <v>2859.4160000000002</v>
      </c>
      <c r="J45" s="25"/>
      <c r="K45" s="27">
        <v>29.914999999999999</v>
      </c>
      <c r="L45" s="28">
        <v>6.8579999999999997</v>
      </c>
      <c r="M45" s="28">
        <v>0.14500000000000002</v>
      </c>
      <c r="N45" s="29">
        <f t="shared" si="3"/>
        <v>36.917999999999999</v>
      </c>
      <c r="O45" s="28">
        <v>19.534000000000002</v>
      </c>
      <c r="P45" s="29">
        <f t="shared" si="4"/>
        <v>17.383999999999997</v>
      </c>
      <c r="Q45" s="28">
        <v>-0.126</v>
      </c>
      <c r="R45" s="29">
        <f t="shared" si="5"/>
        <v>17.509999999999998</v>
      </c>
      <c r="S45" s="28">
        <v>3.4049999999999998</v>
      </c>
      <c r="T45" s="28">
        <v>-0.53499999999999992</v>
      </c>
      <c r="U45" s="28">
        <v>0</v>
      </c>
      <c r="V45" s="29">
        <f t="shared" si="6"/>
        <v>20.38</v>
      </c>
      <c r="W45" s="28">
        <v>4.25</v>
      </c>
      <c r="X45" s="30">
        <f t="shared" si="7"/>
        <v>16.13</v>
      </c>
      <c r="Y45" s="28"/>
      <c r="Z45" s="31">
        <f t="shared" si="8"/>
        <v>2.4878590565263366E-2</v>
      </c>
      <c r="AA45" s="32">
        <f t="shared" si="9"/>
        <v>5.7034054519998715E-3</v>
      </c>
      <c r="AB45" s="33">
        <f t="shared" si="10"/>
        <v>0.49095204584296775</v>
      </c>
      <c r="AC45" s="33">
        <f t="shared" si="11"/>
        <v>0.48443816184311689</v>
      </c>
      <c r="AD45" s="33">
        <f t="shared" si="12"/>
        <v>0.52911858713906501</v>
      </c>
      <c r="AE45" s="32">
        <f t="shared" si="13"/>
        <v>1.6245307975993804E-2</v>
      </c>
      <c r="AF45" s="32">
        <f t="shared" si="14"/>
        <v>1.3414396316820929E-2</v>
      </c>
      <c r="AG45" s="32">
        <f>X45/DV45*2</f>
        <v>2.9006343901407203E-2</v>
      </c>
      <c r="AH45" s="32">
        <f>(P45+S45+T45)/DV45*2</f>
        <v>3.6422472993124705E-2</v>
      </c>
      <c r="AI45" s="32">
        <f>R45/DV45*2</f>
        <v>3.1487977787578433E-2</v>
      </c>
      <c r="AJ45" s="34">
        <f>X45/FZ45*2</f>
        <v>9.8261239048029525E-2</v>
      </c>
      <c r="AK45" s="35"/>
      <c r="AL45" s="36">
        <f t="shared" si="15"/>
        <v>-2.6131774019545157E-2</v>
      </c>
      <c r="AM45" s="33">
        <f t="shared" si="16"/>
        <v>5.7207337777961845E-2</v>
      </c>
      <c r="AN45" s="34">
        <f t="shared" si="17"/>
        <v>7.7476861889193421E-2</v>
      </c>
      <c r="AO45" s="28"/>
      <c r="AP45" s="36">
        <f t="shared" si="18"/>
        <v>1.0451822357021407</v>
      </c>
      <c r="AQ45" s="33">
        <f t="shared" si="19"/>
        <v>0.90981596015937005</v>
      </c>
      <c r="AR45" s="33">
        <f t="shared" si="20"/>
        <v>-0.10004366405645507</v>
      </c>
      <c r="AS45" s="33">
        <f t="shared" si="21"/>
        <v>0.27952400559927315</v>
      </c>
      <c r="AT45" s="33">
        <f t="shared" si="22"/>
        <v>0.17694899010816487</v>
      </c>
      <c r="AU45" s="37">
        <v>4.24</v>
      </c>
      <c r="AV45" s="38">
        <v>1.46</v>
      </c>
      <c r="AW45" s="28"/>
      <c r="AX45" s="36">
        <f>GB45/C45</f>
        <v>0.13731783901447656</v>
      </c>
      <c r="AY45" s="33">
        <v>0.1176</v>
      </c>
      <c r="AZ45" s="33">
        <f t="shared" si="23"/>
        <v>0.26870086381787928</v>
      </c>
      <c r="BA45" s="33">
        <f t="shared" si="24"/>
        <v>0.26870086381787928</v>
      </c>
      <c r="BB45" s="34">
        <f t="shared" si="25"/>
        <v>0.26870086381787928</v>
      </c>
      <c r="BC45" s="33"/>
      <c r="BD45" s="36">
        <f t="shared" si="26"/>
        <v>0.22698438052642989</v>
      </c>
      <c r="BE45" s="33">
        <f t="shared" si="27"/>
        <v>0.23073664814540143</v>
      </c>
      <c r="BF45" s="34">
        <f t="shared" si="28"/>
        <v>0.23579030086597372</v>
      </c>
      <c r="BG45" s="25"/>
      <c r="BH45" s="39">
        <v>1.6E-2</v>
      </c>
      <c r="BI45" s="36">
        <f t="shared" si="29"/>
        <v>9.0000000000000011E-3</v>
      </c>
      <c r="BJ45" s="34">
        <f t="shared" si="30"/>
        <v>1.2E-2</v>
      </c>
      <c r="BK45" s="39">
        <v>1.4999999999999999E-2</v>
      </c>
      <c r="BL45" s="33"/>
      <c r="BM45" s="39">
        <f t="shared" si="31"/>
        <v>7.7984380526429864E-2</v>
      </c>
      <c r="BN45" s="34">
        <f t="shared" si="32"/>
        <v>6.373664814540142E-2</v>
      </c>
      <c r="BO45" s="34">
        <f t="shared" si="33"/>
        <v>4.4790300865973715E-2</v>
      </c>
      <c r="BP45" s="28"/>
      <c r="BQ45" s="31">
        <f>Q45/GD45*2</f>
        <v>-1.3443721222034259E-4</v>
      </c>
      <c r="BR45" s="33">
        <f t="shared" si="34"/>
        <v>-6.22099338402291E-3</v>
      </c>
      <c r="BS45" s="32">
        <f>FC45/E45</f>
        <v>9.2200479546296239E-3</v>
      </c>
      <c r="BT45" s="33">
        <f t="shared" si="35"/>
        <v>4.9117248927162245E-2</v>
      </c>
      <c r="BU45" s="33">
        <f t="shared" si="36"/>
        <v>0.93116915765827879</v>
      </c>
      <c r="BV45" s="34">
        <f t="shared" si="37"/>
        <v>0.95547552367336541</v>
      </c>
      <c r="BW45" s="28"/>
      <c r="BX45" s="27">
        <v>24.88</v>
      </c>
      <c r="BY45" s="28">
        <v>147.55699999999999</v>
      </c>
      <c r="BZ45" s="29">
        <f t="shared" si="38"/>
        <v>172.43699999999998</v>
      </c>
      <c r="CA45" s="25">
        <v>1849.665</v>
      </c>
      <c r="CB45" s="28">
        <v>2.9470000000000001</v>
      </c>
      <c r="CC45" s="28">
        <v>2.101</v>
      </c>
      <c r="CD45" s="29">
        <f t="shared" si="39"/>
        <v>1844.617</v>
      </c>
      <c r="CE45" s="28">
        <v>268.476</v>
      </c>
      <c r="CF45" s="28">
        <v>179.65199999999999</v>
      </c>
      <c r="CG45" s="29">
        <f t="shared" si="40"/>
        <v>448.12799999999999</v>
      </c>
      <c r="CH45" s="28">
        <v>0</v>
      </c>
      <c r="CI45" s="28">
        <v>0</v>
      </c>
      <c r="CJ45" s="28">
        <v>13.21</v>
      </c>
      <c r="CK45" s="28">
        <v>13.360000000000106</v>
      </c>
      <c r="CL45" s="29">
        <f t="shared" si="41"/>
        <v>2491.752</v>
      </c>
      <c r="CM45" s="28">
        <v>106.35</v>
      </c>
      <c r="CN45" s="25">
        <v>1933.2370000000001</v>
      </c>
      <c r="CO45" s="29">
        <f t="shared" si="42"/>
        <v>2039.587</v>
      </c>
      <c r="CP45" s="28">
        <v>85.278999999999996</v>
      </c>
      <c r="CQ45" s="28">
        <v>24.72399999999999</v>
      </c>
      <c r="CR45" s="29">
        <f t="shared" si="43"/>
        <v>110.00299999999999</v>
      </c>
      <c r="CS45" s="28">
        <v>0</v>
      </c>
      <c r="CT45" s="28">
        <v>342.16199999999998</v>
      </c>
      <c r="CU45" s="42">
        <f t="shared" si="44"/>
        <v>2491.752</v>
      </c>
      <c r="CV45" s="28"/>
      <c r="CW45" s="43">
        <v>440.91300000000001</v>
      </c>
      <c r="CX45" s="28"/>
      <c r="CY45" s="24">
        <v>0</v>
      </c>
      <c r="CZ45" s="25">
        <v>85</v>
      </c>
      <c r="DA45" s="25">
        <v>105</v>
      </c>
      <c r="DB45" s="25">
        <v>35</v>
      </c>
      <c r="DC45" s="25">
        <v>0</v>
      </c>
      <c r="DD45" s="25">
        <v>0</v>
      </c>
      <c r="DE45" s="26">
        <f t="shared" si="45"/>
        <v>225</v>
      </c>
      <c r="DF45" s="34">
        <f t="shared" si="46"/>
        <v>9.0297910867534165E-2</v>
      </c>
      <c r="DG45" s="68"/>
      <c r="DH45" s="44" t="s">
        <v>229</v>
      </c>
      <c r="DI45" s="45">
        <v>15.7</v>
      </c>
      <c r="DJ45" s="46">
        <v>3</v>
      </c>
      <c r="DK45" s="45" t="s">
        <v>168</v>
      </c>
      <c r="DL45" s="47" t="s">
        <v>169</v>
      </c>
      <c r="DM45" s="45"/>
      <c r="DN45" s="39" t="s">
        <v>224</v>
      </c>
      <c r="DO45" s="36"/>
      <c r="DP45" s="34"/>
      <c r="DQ45" s="25"/>
      <c r="DR45" s="24">
        <v>318.40300000000002</v>
      </c>
      <c r="DS45" s="25">
        <v>318.40300000000002</v>
      </c>
      <c r="DT45" s="26">
        <v>318.40300000000002</v>
      </c>
      <c r="DU45" s="25"/>
      <c r="DV45" s="44">
        <f t="shared" si="47"/>
        <v>1112.1704999999999</v>
      </c>
      <c r="DW45" s="25">
        <v>1039.3689999999999</v>
      </c>
      <c r="DX45" s="26">
        <v>1184.972</v>
      </c>
      <c r="DY45" s="25"/>
      <c r="DZ45" s="24">
        <v>318.31200000000001</v>
      </c>
      <c r="EA45" s="25">
        <v>323.57400000000001</v>
      </c>
      <c r="EB45" s="25">
        <v>330.661</v>
      </c>
      <c r="EC45" s="26">
        <v>1402.3520000000001</v>
      </c>
      <c r="ED45" s="25"/>
      <c r="EE45" s="24">
        <v>14.709304729999999</v>
      </c>
      <c r="EF45" s="25">
        <v>7.7716493099999999</v>
      </c>
      <c r="EG45" s="25">
        <v>48</v>
      </c>
      <c r="EH45" s="25">
        <v>16.309999999999999</v>
      </c>
      <c r="EI45" s="25">
        <v>36.007335130000001</v>
      </c>
      <c r="EJ45" s="25">
        <v>6.13142034</v>
      </c>
      <c r="EK45" s="25">
        <v>0</v>
      </c>
      <c r="EL45" s="25">
        <v>34.262290490000169</v>
      </c>
      <c r="EM45" s="26">
        <v>1700.5450000000001</v>
      </c>
      <c r="EN45" s="26">
        <f t="shared" si="48"/>
        <v>1863.7370000000003</v>
      </c>
      <c r="EO45" s="45"/>
      <c r="EP45" s="36">
        <f t="shared" si="49"/>
        <v>7.8923714719405132E-3</v>
      </c>
      <c r="EQ45" s="33">
        <f t="shared" si="50"/>
        <v>4.1699281121746245E-3</v>
      </c>
      <c r="ER45" s="33">
        <f t="shared" si="51"/>
        <v>2.5754706806808039E-2</v>
      </c>
      <c r="ES45" s="33">
        <f t="shared" si="52"/>
        <v>8.7512347503966477E-3</v>
      </c>
      <c r="ET45" s="33">
        <f t="shared" si="53"/>
        <v>1.9319965815992275E-2</v>
      </c>
      <c r="EU45" s="33">
        <f t="shared" si="54"/>
        <v>3.289852774291651E-3</v>
      </c>
      <c r="EV45" s="33">
        <f t="shared" si="55"/>
        <v>0</v>
      </c>
      <c r="EW45" s="33">
        <f t="shared" si="56"/>
        <v>1.8383650960409201E-2</v>
      </c>
      <c r="EX45" s="33">
        <f t="shared" si="57"/>
        <v>0.91243828930798698</v>
      </c>
      <c r="EY45" s="39">
        <f t="shared" si="58"/>
        <v>0.99999999999999989</v>
      </c>
      <c r="EZ45" s="45"/>
      <c r="FA45" s="27">
        <v>3.044</v>
      </c>
      <c r="FB45" s="28">
        <v>14.010000000000002</v>
      </c>
      <c r="FC45" s="42">
        <f t="shared" si="59"/>
        <v>17.054000000000002</v>
      </c>
      <c r="FE45" s="27">
        <f>CB45</f>
        <v>2.9470000000000001</v>
      </c>
      <c r="FF45" s="28">
        <f>CC45</f>
        <v>2.101</v>
      </c>
      <c r="FG45" s="42">
        <f t="shared" si="60"/>
        <v>5.048</v>
      </c>
      <c r="FI45" s="53">
        <v>1699.9880000000001</v>
      </c>
      <c r="FJ45" s="54">
        <v>132.626</v>
      </c>
      <c r="FK45" s="55">
        <v>17.050999999999998</v>
      </c>
      <c r="FL45" s="56">
        <f t="shared" si="61"/>
        <v>1849.665</v>
      </c>
      <c r="FM45" s="57">
        <f t="shared" si="62"/>
        <v>0.91907886022604102</v>
      </c>
      <c r="FN45" s="58">
        <f t="shared" si="63"/>
        <v>7.1702713734649245E-2</v>
      </c>
      <c r="FO45" s="59">
        <f t="shared" si="64"/>
        <v>9.2184260393098211E-3</v>
      </c>
      <c r="FP45" s="61">
        <f t="shared" si="65"/>
        <v>1</v>
      </c>
      <c r="FR45" s="24">
        <f>FV45*E45</f>
        <v>1722.3510000000001</v>
      </c>
      <c r="FS45" s="25">
        <f>E45*FW45</f>
        <v>127.31399999999977</v>
      </c>
      <c r="FT45" s="26">
        <f t="shared" si="66"/>
        <v>1849.665</v>
      </c>
      <c r="FV45" s="36">
        <v>0.93116915765827879</v>
      </c>
      <c r="FW45" s="33">
        <v>6.883084234172121E-2</v>
      </c>
      <c r="FX45" s="34">
        <f t="shared" si="67"/>
        <v>1</v>
      </c>
      <c r="FY45" s="45"/>
      <c r="FZ45" s="44">
        <f t="shared" si="68"/>
        <v>328.30849999999998</v>
      </c>
      <c r="GA45" s="25">
        <v>314.45499999999998</v>
      </c>
      <c r="GB45" s="26">
        <v>342.16199999999998</v>
      </c>
      <c r="GD45" s="44">
        <f t="shared" si="69"/>
        <v>1874.481</v>
      </c>
      <c r="GE45" s="25">
        <v>1899.297</v>
      </c>
      <c r="GF45" s="26">
        <v>1849.665</v>
      </c>
      <c r="GH45" s="44">
        <f t="shared" si="70"/>
        <v>907.57099999999991</v>
      </c>
      <c r="GI45" s="25">
        <v>805.39099999999996</v>
      </c>
      <c r="GJ45" s="26">
        <f>F45</f>
        <v>1009.751</v>
      </c>
      <c r="GL45" s="44">
        <f t="shared" si="71"/>
        <v>2782.0520000000001</v>
      </c>
      <c r="GM45" s="45">
        <f t="shared" si="72"/>
        <v>2704.6880000000001</v>
      </c>
      <c r="GN45" s="46">
        <f t="shared" si="73"/>
        <v>2859.4160000000002</v>
      </c>
      <c r="GP45" s="44">
        <f t="shared" si="74"/>
        <v>1863.7315000000001</v>
      </c>
      <c r="GQ45" s="25">
        <v>1794.2260000000001</v>
      </c>
      <c r="GR45" s="26">
        <f>G45</f>
        <v>1933.2370000000001</v>
      </c>
      <c r="GS45" s="25"/>
      <c r="GT45" s="44">
        <f t="shared" si="75"/>
        <v>2404.8789999999999</v>
      </c>
      <c r="GU45" s="25">
        <v>2318.0059999999999</v>
      </c>
      <c r="GV45" s="26">
        <f>C45</f>
        <v>2491.752</v>
      </c>
      <c r="GW45" s="25"/>
      <c r="GX45" s="61">
        <f>DX45/C45</f>
        <v>0.47555776016232754</v>
      </c>
      <c r="GY45" s="62"/>
    </row>
    <row r="46" spans="1:207" ht="13.5" customHeight="1" x14ac:dyDescent="0.25">
      <c r="A46" s="1"/>
      <c r="B46" s="23" t="s">
        <v>217</v>
      </c>
      <c r="C46" s="24">
        <v>6712.4989999999998</v>
      </c>
      <c r="D46" s="25">
        <f t="shared" si="0"/>
        <v>6546.5675000000001</v>
      </c>
      <c r="E46" s="25">
        <v>5762.9690000000001</v>
      </c>
      <c r="F46" s="25">
        <v>884.15499999999997</v>
      </c>
      <c r="G46" s="25">
        <v>4862.3760000000002</v>
      </c>
      <c r="H46" s="25">
        <f t="shared" si="1"/>
        <v>7596.6539999999995</v>
      </c>
      <c r="I46" s="26">
        <f t="shared" si="2"/>
        <v>6647.1239999999998</v>
      </c>
      <c r="J46" s="25"/>
      <c r="K46" s="27">
        <v>67.711999999999989</v>
      </c>
      <c r="L46" s="28">
        <v>8.6430000000000007</v>
      </c>
      <c r="M46" s="28">
        <v>0</v>
      </c>
      <c r="N46" s="29">
        <f t="shared" si="3"/>
        <v>76.35499999999999</v>
      </c>
      <c r="O46" s="28">
        <v>34.397999999999996</v>
      </c>
      <c r="P46" s="29">
        <f t="shared" si="4"/>
        <v>41.956999999999994</v>
      </c>
      <c r="Q46" s="28">
        <v>-0.94000000000000006</v>
      </c>
      <c r="R46" s="29">
        <f t="shared" si="5"/>
        <v>42.896999999999991</v>
      </c>
      <c r="S46" s="28">
        <v>4.1150000000000002</v>
      </c>
      <c r="T46" s="28">
        <v>14.173</v>
      </c>
      <c r="U46" s="28">
        <v>0</v>
      </c>
      <c r="V46" s="29">
        <f t="shared" si="6"/>
        <v>61.184999999999995</v>
      </c>
      <c r="W46" s="28">
        <v>15.308</v>
      </c>
      <c r="X46" s="30">
        <f t="shared" si="7"/>
        <v>45.876999999999995</v>
      </c>
      <c r="Y46" s="28"/>
      <c r="Z46" s="31">
        <f t="shared" si="8"/>
        <v>2.0686260395237653E-2</v>
      </c>
      <c r="AA46" s="32">
        <f t="shared" si="9"/>
        <v>2.6404676954755301E-3</v>
      </c>
      <c r="AB46" s="33">
        <f t="shared" si="10"/>
        <v>0.36345001743393596</v>
      </c>
      <c r="AC46" s="33">
        <f t="shared" si="11"/>
        <v>0.42746365105008083</v>
      </c>
      <c r="AD46" s="33">
        <f t="shared" si="12"/>
        <v>0.4505009495121472</v>
      </c>
      <c r="AE46" s="32">
        <f t="shared" si="13"/>
        <v>1.0508713153877965E-2</v>
      </c>
      <c r="AF46" s="32">
        <f t="shared" si="14"/>
        <v>1.4015589085425299E-2</v>
      </c>
      <c r="AG46" s="32">
        <f>X46/DV46*2</f>
        <v>2.9910455098295978E-2</v>
      </c>
      <c r="AH46" s="32">
        <f>(P46+S46+T46)/DV46*2</f>
        <v>3.9277968642170182E-2</v>
      </c>
      <c r="AI46" s="32">
        <f>R46/DV46*2</f>
        <v>2.7967582717954582E-2</v>
      </c>
      <c r="AJ46" s="34">
        <f>X46/FZ46*2</f>
        <v>0.12904986170818</v>
      </c>
      <c r="AK46" s="35"/>
      <c r="AL46" s="36">
        <f t="shared" si="15"/>
        <v>3.6596384106443822E-2</v>
      </c>
      <c r="AM46" s="33">
        <f t="shared" si="16"/>
        <v>7.9596286920708317E-2</v>
      </c>
      <c r="AN46" s="34">
        <f t="shared" si="17"/>
        <v>8.1584587966377797E-2</v>
      </c>
      <c r="AO46" s="28"/>
      <c r="AP46" s="36">
        <f t="shared" si="18"/>
        <v>0.84372759943702635</v>
      </c>
      <c r="AQ46" s="33">
        <f t="shared" si="19"/>
        <v>0.82025104286298445</v>
      </c>
      <c r="AR46" s="33">
        <f t="shared" si="20"/>
        <v>0.10989677614849551</v>
      </c>
      <c r="AS46" s="33">
        <f t="shared" si="21"/>
        <v>0.20514230244205622</v>
      </c>
      <c r="AT46" s="33">
        <f t="shared" si="22"/>
        <v>4.8842316401089957E-2</v>
      </c>
      <c r="AU46" s="37">
        <v>5.72</v>
      </c>
      <c r="AV46" s="38">
        <v>1.36</v>
      </c>
      <c r="AW46" s="28"/>
      <c r="AX46" s="36">
        <f>GB46/C46</f>
        <v>0.11029886186947663</v>
      </c>
      <c r="AY46" s="33">
        <v>0.1019</v>
      </c>
      <c r="AZ46" s="33">
        <f t="shared" si="23"/>
        <v>0.229411215330106</v>
      </c>
      <c r="BA46" s="33">
        <f t="shared" si="24"/>
        <v>0.2466425588683005</v>
      </c>
      <c r="BB46" s="34">
        <f t="shared" si="25"/>
        <v>0.27421270852941165</v>
      </c>
      <c r="BC46" s="33"/>
      <c r="BD46" s="36">
        <f t="shared" si="26"/>
        <v>0.21226996018733491</v>
      </c>
      <c r="BE46" s="33">
        <f t="shared" si="27"/>
        <v>0.22986827513024882</v>
      </c>
      <c r="BF46" s="34">
        <f t="shared" si="28"/>
        <v>0.25761012310810055</v>
      </c>
      <c r="BG46" s="25"/>
      <c r="BH46" s="39">
        <v>1.7999999999999999E-2</v>
      </c>
      <c r="BI46" s="36">
        <f t="shared" si="29"/>
        <v>1.0124999999999999E-2</v>
      </c>
      <c r="BJ46" s="34">
        <f t="shared" si="30"/>
        <v>1.3499999999999998E-2</v>
      </c>
      <c r="BK46" s="39">
        <v>0.01</v>
      </c>
      <c r="BL46" s="33"/>
      <c r="BM46" s="39">
        <f t="shared" si="31"/>
        <v>6.2144960187334897E-2</v>
      </c>
      <c r="BN46" s="34">
        <f t="shared" si="32"/>
        <v>6.1368275130248839E-2</v>
      </c>
      <c r="BO46" s="34">
        <f t="shared" si="33"/>
        <v>6.4610123108100548E-2</v>
      </c>
      <c r="BP46" s="28"/>
      <c r="BQ46" s="31">
        <f>Q46/GD46*2</f>
        <v>-3.3208272392620699E-4</v>
      </c>
      <c r="BR46" s="33">
        <f t="shared" si="34"/>
        <v>-1.5602954602041665E-2</v>
      </c>
      <c r="BS46" s="32">
        <f>FC46/E46</f>
        <v>9.5159283348565642E-3</v>
      </c>
      <c r="BT46" s="33">
        <f t="shared" si="35"/>
        <v>7.1462359117901164E-2</v>
      </c>
      <c r="BU46" s="33">
        <f t="shared" si="36"/>
        <v>0.82417465719492855</v>
      </c>
      <c r="BV46" s="34">
        <f t="shared" si="37"/>
        <v>0.84756174249194094</v>
      </c>
      <c r="BW46" s="28"/>
      <c r="BX46" s="27">
        <v>86.471999999999994</v>
      </c>
      <c r="BY46" s="28">
        <v>241.38200000000001</v>
      </c>
      <c r="BZ46" s="29">
        <f t="shared" si="38"/>
        <v>327.85399999999998</v>
      </c>
      <c r="CA46" s="25">
        <v>5762.9690000000001</v>
      </c>
      <c r="CB46" s="28">
        <v>14.768000000000001</v>
      </c>
      <c r="CC46" s="28">
        <v>12.247999999999999</v>
      </c>
      <c r="CD46" s="29">
        <f t="shared" si="39"/>
        <v>5735.9530000000004</v>
      </c>
      <c r="CE46" s="28">
        <v>0</v>
      </c>
      <c r="CF46" s="28">
        <v>621.29999999999995</v>
      </c>
      <c r="CG46" s="29">
        <f t="shared" si="40"/>
        <v>621.29999999999995</v>
      </c>
      <c r="CH46" s="28">
        <v>0.153</v>
      </c>
      <c r="CI46" s="28">
        <v>0</v>
      </c>
      <c r="CJ46" s="28">
        <v>19.93</v>
      </c>
      <c r="CK46" s="28">
        <v>7.3089999999991448</v>
      </c>
      <c r="CL46" s="29">
        <f t="shared" si="41"/>
        <v>6712.4990000000007</v>
      </c>
      <c r="CM46" s="28">
        <v>1.0999999999999999E-2</v>
      </c>
      <c r="CN46" s="25">
        <v>4862.3760000000002</v>
      </c>
      <c r="CO46" s="29">
        <f t="shared" si="42"/>
        <v>4862.3870000000006</v>
      </c>
      <c r="CP46" s="28">
        <v>934.92899999999997</v>
      </c>
      <c r="CQ46" s="28">
        <v>44.205999999999221</v>
      </c>
      <c r="CR46" s="29">
        <f t="shared" si="43"/>
        <v>979.1349999999992</v>
      </c>
      <c r="CS46" s="28">
        <v>130.596</v>
      </c>
      <c r="CT46" s="28">
        <v>740.38099999999997</v>
      </c>
      <c r="CU46" s="42">
        <f t="shared" si="44"/>
        <v>6712.4990000000007</v>
      </c>
      <c r="CV46" s="28"/>
      <c r="CW46" s="43">
        <v>327.85399999999998</v>
      </c>
      <c r="CX46" s="28"/>
      <c r="CY46" s="24">
        <v>0</v>
      </c>
      <c r="CZ46" s="25">
        <v>0</v>
      </c>
      <c r="DA46" s="25">
        <v>0</v>
      </c>
      <c r="DB46" s="25">
        <v>0</v>
      </c>
      <c r="DC46" s="25">
        <v>0</v>
      </c>
      <c r="DD46" s="25">
        <v>0</v>
      </c>
      <c r="DE46" s="26">
        <f t="shared" si="45"/>
        <v>0</v>
      </c>
      <c r="DF46" s="34">
        <f t="shared" si="46"/>
        <v>0</v>
      </c>
      <c r="DG46" s="68"/>
      <c r="DH46" s="44" t="s">
        <v>229</v>
      </c>
      <c r="DI46" s="45">
        <v>23.4</v>
      </c>
      <c r="DJ46" s="46">
        <v>1</v>
      </c>
      <c r="DK46" s="45" t="s">
        <v>168</v>
      </c>
      <c r="DL46" s="47" t="s">
        <v>169</v>
      </c>
      <c r="DM46" s="48" t="s">
        <v>218</v>
      </c>
      <c r="DN46" s="39" t="s">
        <v>224</v>
      </c>
      <c r="DO46" s="66" t="s">
        <v>178</v>
      </c>
      <c r="DP46" s="67" t="s">
        <v>179</v>
      </c>
      <c r="DQ46" s="25"/>
      <c r="DR46" s="24">
        <v>665.68</v>
      </c>
      <c r="DS46" s="25">
        <v>715.68</v>
      </c>
      <c r="DT46" s="26">
        <v>795.68</v>
      </c>
      <c r="DU46" s="25"/>
      <c r="DV46" s="44">
        <f t="shared" si="47"/>
        <v>3067.6229999999996</v>
      </c>
      <c r="DW46" s="25">
        <v>3233.5569999999998</v>
      </c>
      <c r="DX46" s="26">
        <v>2901.6889999999999</v>
      </c>
      <c r="DY46" s="25"/>
      <c r="DZ46" s="24">
        <v>665.13199999999995</v>
      </c>
      <c r="EA46" s="25">
        <v>720.27499999999998</v>
      </c>
      <c r="EB46" s="25">
        <v>807.202</v>
      </c>
      <c r="EC46" s="26">
        <v>3133.4250000000002</v>
      </c>
      <c r="ED46" s="25"/>
      <c r="EE46" s="24">
        <v>48.491999999999997</v>
      </c>
      <c r="EF46" s="25">
        <v>39.460999999999999</v>
      </c>
      <c r="EG46" s="25">
        <v>80.337999999999994</v>
      </c>
      <c r="EH46" s="25">
        <v>136.607</v>
      </c>
      <c r="EI46" s="25">
        <v>520.67200000000003</v>
      </c>
      <c r="EJ46" s="25">
        <v>246.148</v>
      </c>
      <c r="EK46" s="25">
        <v>19.585999999999999</v>
      </c>
      <c r="EL46" s="25">
        <v>0</v>
      </c>
      <c r="EM46" s="26">
        <v>4554.33</v>
      </c>
      <c r="EN46" s="26">
        <f t="shared" si="48"/>
        <v>5645.634</v>
      </c>
      <c r="EO46" s="45"/>
      <c r="EP46" s="36">
        <f t="shared" si="49"/>
        <v>8.5892921857846256E-3</v>
      </c>
      <c r="EQ46" s="33">
        <f t="shared" si="50"/>
        <v>6.9896489924780808E-3</v>
      </c>
      <c r="ER46" s="33">
        <f t="shared" si="51"/>
        <v>1.423011126828271E-2</v>
      </c>
      <c r="ES46" s="33">
        <f t="shared" si="52"/>
        <v>2.4196928104088928E-2</v>
      </c>
      <c r="ET46" s="33">
        <f t="shared" si="53"/>
        <v>9.2225603005791731E-2</v>
      </c>
      <c r="EU46" s="33">
        <f t="shared" si="54"/>
        <v>4.3599709084931826E-2</v>
      </c>
      <c r="EV46" s="33">
        <f t="shared" si="55"/>
        <v>3.4692294966340359E-3</v>
      </c>
      <c r="EW46" s="33">
        <f t="shared" si="56"/>
        <v>0</v>
      </c>
      <c r="EX46" s="33">
        <f t="shared" si="57"/>
        <v>0.80669947786200802</v>
      </c>
      <c r="EY46" s="39">
        <f t="shared" si="58"/>
        <v>1</v>
      </c>
      <c r="EZ46" s="45"/>
      <c r="FA46" s="27">
        <v>0.82</v>
      </c>
      <c r="FB46" s="28">
        <v>54.019999999999996</v>
      </c>
      <c r="FC46" s="42">
        <f t="shared" si="59"/>
        <v>54.839999999999996</v>
      </c>
      <c r="FE46" s="27">
        <f>CB46</f>
        <v>14.768000000000001</v>
      </c>
      <c r="FF46" s="28">
        <f>CC46</f>
        <v>12.247999999999999</v>
      </c>
      <c r="FG46" s="42">
        <f t="shared" si="60"/>
        <v>27.015999999999998</v>
      </c>
      <c r="FI46" s="53">
        <v>5336.5360000000001</v>
      </c>
      <c r="FJ46" s="54">
        <v>372.50599999999997</v>
      </c>
      <c r="FK46" s="55">
        <v>53.927</v>
      </c>
      <c r="FL46" s="56">
        <f t="shared" si="61"/>
        <v>5762.9690000000001</v>
      </c>
      <c r="FM46" s="57">
        <f t="shared" si="62"/>
        <v>0.92600463406969569</v>
      </c>
      <c r="FN46" s="58">
        <f t="shared" si="63"/>
        <v>6.4637862879359576E-2</v>
      </c>
      <c r="FO46" s="59">
        <f t="shared" si="64"/>
        <v>9.3575030509447481E-3</v>
      </c>
      <c r="FP46" s="61">
        <f t="shared" si="65"/>
        <v>1</v>
      </c>
      <c r="FR46" s="24">
        <f>FV46*E46</f>
        <v>4749.6930000000002</v>
      </c>
      <c r="FS46" s="25">
        <f>E46*FW46</f>
        <v>1013.2759999999998</v>
      </c>
      <c r="FT46" s="26">
        <f t="shared" si="66"/>
        <v>5762.9690000000001</v>
      </c>
      <c r="FV46" s="36">
        <v>0.82417465719492855</v>
      </c>
      <c r="FW46" s="33">
        <v>0.17582534280507145</v>
      </c>
      <c r="FX46" s="34">
        <f t="shared" si="67"/>
        <v>1</v>
      </c>
      <c r="FY46" s="45"/>
      <c r="FZ46" s="44">
        <f t="shared" si="68"/>
        <v>710.99649999999997</v>
      </c>
      <c r="GA46" s="25">
        <v>681.61199999999997</v>
      </c>
      <c r="GB46" s="26">
        <v>740.38099999999997</v>
      </c>
      <c r="GD46" s="44">
        <f t="shared" si="69"/>
        <v>5661.24</v>
      </c>
      <c r="GE46" s="25">
        <v>5559.5110000000004</v>
      </c>
      <c r="GF46" s="26">
        <v>5762.9690000000001</v>
      </c>
      <c r="GH46" s="44">
        <f t="shared" si="70"/>
        <v>740.84500000000003</v>
      </c>
      <c r="GI46" s="25">
        <v>597.53499999999997</v>
      </c>
      <c r="GJ46" s="26">
        <f>F46</f>
        <v>884.15499999999997</v>
      </c>
      <c r="GL46" s="44">
        <f t="shared" si="71"/>
        <v>6402.085</v>
      </c>
      <c r="GM46" s="45">
        <f t="shared" si="72"/>
        <v>6157.0460000000003</v>
      </c>
      <c r="GN46" s="46">
        <f t="shared" si="73"/>
        <v>6647.1239999999998</v>
      </c>
      <c r="GP46" s="44">
        <f t="shared" si="74"/>
        <v>4678.99</v>
      </c>
      <c r="GQ46" s="25">
        <v>4495.6040000000003</v>
      </c>
      <c r="GR46" s="26">
        <f>G46</f>
        <v>4862.3760000000002</v>
      </c>
      <c r="GS46" s="25"/>
      <c r="GT46" s="44">
        <f t="shared" si="75"/>
        <v>6546.5675000000001</v>
      </c>
      <c r="GU46" s="25">
        <v>6380.6360000000004</v>
      </c>
      <c r="GV46" s="26">
        <f>C46</f>
        <v>6712.4989999999998</v>
      </c>
      <c r="GW46" s="25"/>
      <c r="GX46" s="61">
        <f>DX46/C46</f>
        <v>0.43228147966949415</v>
      </c>
      <c r="GY46" s="62"/>
    </row>
    <row r="47" spans="1:207" ht="13.5" customHeight="1" x14ac:dyDescent="0.25">
      <c r="A47" s="1"/>
      <c r="B47" s="69" t="s">
        <v>219</v>
      </c>
      <c r="C47" s="70">
        <v>4053.5839999999998</v>
      </c>
      <c r="D47" s="71">
        <f t="shared" si="0"/>
        <v>3913.3615</v>
      </c>
      <c r="E47" s="71">
        <v>3370.1889999999999</v>
      </c>
      <c r="F47" s="71">
        <v>1182.9580000000001</v>
      </c>
      <c r="G47" s="71">
        <v>2906.9960000000001</v>
      </c>
      <c r="H47" s="71">
        <f t="shared" si="1"/>
        <v>5236.5419999999995</v>
      </c>
      <c r="I47" s="72">
        <f t="shared" si="2"/>
        <v>4553.1469999999999</v>
      </c>
      <c r="J47" s="25"/>
      <c r="K47" s="73">
        <v>43.701999999999998</v>
      </c>
      <c r="L47" s="74">
        <v>9.0229999999999997</v>
      </c>
      <c r="M47" s="74">
        <v>0.30000000000000004</v>
      </c>
      <c r="N47" s="75">
        <f t="shared" si="3"/>
        <v>53.024999999999991</v>
      </c>
      <c r="O47" s="74">
        <v>27.646999999999998</v>
      </c>
      <c r="P47" s="75">
        <f t="shared" si="4"/>
        <v>25.377999999999993</v>
      </c>
      <c r="Q47" s="74">
        <v>0.86399999999999999</v>
      </c>
      <c r="R47" s="75">
        <f t="shared" si="5"/>
        <v>24.513999999999992</v>
      </c>
      <c r="S47" s="74">
        <v>4.4640000000000004</v>
      </c>
      <c r="T47" s="74">
        <v>0.53100000000000003</v>
      </c>
      <c r="U47" s="74">
        <v>0</v>
      </c>
      <c r="V47" s="75">
        <f t="shared" si="6"/>
        <v>29.508999999999993</v>
      </c>
      <c r="W47" s="74">
        <v>6.26</v>
      </c>
      <c r="X47" s="76">
        <f t="shared" si="7"/>
        <v>23.248999999999995</v>
      </c>
      <c r="Y47" s="28"/>
      <c r="Z47" s="77">
        <f t="shared" si="8"/>
        <v>2.2334762581989933E-2</v>
      </c>
      <c r="AA47" s="78">
        <f t="shared" si="9"/>
        <v>4.6113807783921823E-3</v>
      </c>
      <c r="AB47" s="79">
        <f t="shared" si="10"/>
        <v>0.47650810065494664</v>
      </c>
      <c r="AC47" s="79">
        <f t="shared" si="11"/>
        <v>0.48090939136182581</v>
      </c>
      <c r="AD47" s="79">
        <f t="shared" si="12"/>
        <v>0.5213955681282415</v>
      </c>
      <c r="AE47" s="78">
        <f t="shared" si="13"/>
        <v>1.4129540549729433E-2</v>
      </c>
      <c r="AF47" s="78">
        <f t="shared" si="14"/>
        <v>1.1881856557335679E-2</v>
      </c>
      <c r="AG47" s="78">
        <f>X47/DV47*2</f>
        <v>2.5410478857845475E-2</v>
      </c>
      <c r="AH47" s="78">
        <f>(P47+S47+T47)/DV47*2</f>
        <v>3.3196803060318317E-2</v>
      </c>
      <c r="AI47" s="78">
        <f>R47/DV47*2</f>
        <v>2.6793086959491761E-2</v>
      </c>
      <c r="AJ47" s="80">
        <f>X47/FZ47*2</f>
        <v>9.9420662640491167E-2</v>
      </c>
      <c r="AK47" s="35"/>
      <c r="AL47" s="81">
        <f t="shared" si="15"/>
        <v>4.7061371132303811E-2</v>
      </c>
      <c r="AM47" s="79">
        <f t="shared" si="16"/>
        <v>8.6524971966747091E-2</v>
      </c>
      <c r="AN47" s="80">
        <f t="shared" si="17"/>
        <v>5.1722229176630961E-2</v>
      </c>
      <c r="AO47" s="28"/>
      <c r="AP47" s="81">
        <f t="shared" si="18"/>
        <v>0.86256171389794467</v>
      </c>
      <c r="AQ47" s="79">
        <f t="shared" si="19"/>
        <v>0.82292973580154105</v>
      </c>
      <c r="AR47" s="79">
        <f t="shared" si="20"/>
        <v>2.2425586838708659E-2</v>
      </c>
      <c r="AS47" s="79">
        <f t="shared" si="21"/>
        <v>0.27056081729156223</v>
      </c>
      <c r="AT47" s="79">
        <f t="shared" si="22"/>
        <v>0.13188230464694947</v>
      </c>
      <c r="AU47" s="82">
        <v>3.54</v>
      </c>
      <c r="AV47" s="122">
        <v>1.3714</v>
      </c>
      <c r="AW47" s="28"/>
      <c r="AX47" s="81">
        <f>GB47/C47</f>
        <v>0.1201968430899668</v>
      </c>
      <c r="AY47" s="79">
        <v>0.1147</v>
      </c>
      <c r="AZ47" s="79">
        <f t="shared" si="23"/>
        <v>0.24929918041556998</v>
      </c>
      <c r="BA47" s="79">
        <f t="shared" si="24"/>
        <v>0.2712469458312689</v>
      </c>
      <c r="BB47" s="80">
        <f t="shared" si="25"/>
        <v>0.3151424766626667</v>
      </c>
      <c r="BC47" s="33"/>
      <c r="BD47" s="81">
        <f t="shared" si="26"/>
        <v>0.21545929496993738</v>
      </c>
      <c r="BE47" s="79">
        <f t="shared" si="27"/>
        <v>0.23753308314759297</v>
      </c>
      <c r="BF47" s="80">
        <f t="shared" si="28"/>
        <v>0.27966588097900003</v>
      </c>
      <c r="BG47" s="25"/>
      <c r="BH47" s="83">
        <v>2.1000000000000001E-2</v>
      </c>
      <c r="BI47" s="81">
        <f t="shared" si="29"/>
        <v>1.18125E-2</v>
      </c>
      <c r="BJ47" s="80">
        <f t="shared" si="30"/>
        <v>1.575E-2</v>
      </c>
      <c r="BK47" s="83">
        <v>1.4999999999999999E-2</v>
      </c>
      <c r="BL47" s="33"/>
      <c r="BM47" s="83">
        <f t="shared" si="31"/>
        <v>6.3646794969937359E-2</v>
      </c>
      <c r="BN47" s="80">
        <f t="shared" si="32"/>
        <v>6.6783083147592959E-2</v>
      </c>
      <c r="BO47" s="80">
        <f t="shared" si="33"/>
        <v>8.3665880979000018E-2</v>
      </c>
      <c r="BP47" s="28"/>
      <c r="BQ47" s="77">
        <f>Q47/GD47*2</f>
        <v>5.245184287941191E-4</v>
      </c>
      <c r="BR47" s="79">
        <f t="shared" si="34"/>
        <v>2.8446317453001028E-2</v>
      </c>
      <c r="BS47" s="78">
        <f>FC47/E47</f>
        <v>1.5603279222619266E-2</v>
      </c>
      <c r="BT47" s="79">
        <f t="shared" si="35"/>
        <v>0.10531607238702545</v>
      </c>
      <c r="BU47" s="79">
        <f t="shared" si="36"/>
        <v>0.78130544014000403</v>
      </c>
      <c r="BV47" s="80">
        <f t="shared" si="37"/>
        <v>0.83812470803160977</v>
      </c>
      <c r="BW47" s="28"/>
      <c r="BX47" s="73">
        <v>84.183000000000007</v>
      </c>
      <c r="BY47" s="74">
        <v>115.17100000000001</v>
      </c>
      <c r="BZ47" s="75">
        <f t="shared" si="38"/>
        <v>199.35400000000001</v>
      </c>
      <c r="CA47" s="71">
        <v>3370.1889999999999</v>
      </c>
      <c r="CB47" s="74">
        <v>7.8579999999999997</v>
      </c>
      <c r="CC47" s="74">
        <v>4.2300000000000004</v>
      </c>
      <c r="CD47" s="75">
        <f t="shared" si="39"/>
        <v>3358.1009999999997</v>
      </c>
      <c r="CE47" s="74">
        <v>335.24200000000002</v>
      </c>
      <c r="CF47" s="74">
        <v>126.697</v>
      </c>
      <c r="CG47" s="75">
        <f t="shared" si="40"/>
        <v>461.93900000000002</v>
      </c>
      <c r="CH47" s="74">
        <v>6.6</v>
      </c>
      <c r="CI47" s="74">
        <v>0</v>
      </c>
      <c r="CJ47" s="74">
        <v>21.966999999999999</v>
      </c>
      <c r="CK47" s="74">
        <v>5.6230000000003386</v>
      </c>
      <c r="CL47" s="75">
        <f t="shared" si="41"/>
        <v>4053.5839999999998</v>
      </c>
      <c r="CM47" s="74">
        <v>101.004</v>
      </c>
      <c r="CN47" s="71">
        <v>2906.9960000000001</v>
      </c>
      <c r="CO47" s="75">
        <f t="shared" si="42"/>
        <v>3008</v>
      </c>
      <c r="CP47" s="74">
        <v>404.25799999999998</v>
      </c>
      <c r="CQ47" s="74">
        <v>33.859999999999786</v>
      </c>
      <c r="CR47" s="75">
        <f t="shared" si="43"/>
        <v>438.11799999999977</v>
      </c>
      <c r="CS47" s="74">
        <v>120.238</v>
      </c>
      <c r="CT47" s="74">
        <v>487.22799999999995</v>
      </c>
      <c r="CU47" s="84">
        <f t="shared" si="44"/>
        <v>4053.5839999999998</v>
      </c>
      <c r="CV47" s="28"/>
      <c r="CW47" s="43">
        <v>534.596</v>
      </c>
      <c r="CX47" s="28"/>
      <c r="CY47" s="70">
        <v>190</v>
      </c>
      <c r="CZ47" s="71">
        <v>50</v>
      </c>
      <c r="DA47" s="71">
        <v>140</v>
      </c>
      <c r="DB47" s="71">
        <v>150</v>
      </c>
      <c r="DC47" s="71">
        <v>50</v>
      </c>
      <c r="DD47" s="71">
        <v>40</v>
      </c>
      <c r="DE47" s="72">
        <f t="shared" si="45"/>
        <v>620</v>
      </c>
      <c r="DF47" s="80">
        <f t="shared" si="46"/>
        <v>0.15295106749977305</v>
      </c>
      <c r="DG47" s="68"/>
      <c r="DH47" s="85" t="s">
        <v>237</v>
      </c>
      <c r="DI47" s="86">
        <v>25.6</v>
      </c>
      <c r="DJ47" s="87">
        <v>2</v>
      </c>
      <c r="DK47" s="86" t="s">
        <v>168</v>
      </c>
      <c r="DL47" s="88" t="s">
        <v>169</v>
      </c>
      <c r="DM47" s="86"/>
      <c r="DN47" s="83" t="s">
        <v>224</v>
      </c>
      <c r="DO47" s="81"/>
      <c r="DP47" s="80"/>
      <c r="DQ47" s="25"/>
      <c r="DR47" s="70">
        <v>454.35</v>
      </c>
      <c r="DS47" s="71">
        <v>494.35</v>
      </c>
      <c r="DT47" s="72">
        <v>574.35</v>
      </c>
      <c r="DU47" s="25"/>
      <c r="DV47" s="85">
        <f t="shared" si="47"/>
        <v>1829.875</v>
      </c>
      <c r="DW47" s="71">
        <v>1837.241</v>
      </c>
      <c r="DX47" s="72">
        <v>1822.509</v>
      </c>
      <c r="DY47" s="25"/>
      <c r="DZ47" s="70">
        <v>453.851</v>
      </c>
      <c r="EA47" s="71">
        <v>500.34800000000001</v>
      </c>
      <c r="EB47" s="71">
        <v>589.09799999999996</v>
      </c>
      <c r="EC47" s="72">
        <v>2106.4349999999999</v>
      </c>
      <c r="ED47" s="25"/>
      <c r="EE47" s="70">
        <v>134.24072609999999</v>
      </c>
      <c r="EF47" s="71">
        <v>12.42482006</v>
      </c>
      <c r="EG47" s="71">
        <v>82.775000000000006</v>
      </c>
      <c r="EH47" s="71">
        <v>102.45399999999999</v>
      </c>
      <c r="EI47" s="71">
        <v>304.65716678000001</v>
      </c>
      <c r="EJ47" s="71">
        <v>80.061510409999997</v>
      </c>
      <c r="EK47" s="71">
        <v>13.262</v>
      </c>
      <c r="EL47" s="71">
        <v>0</v>
      </c>
      <c r="EM47" s="72">
        <v>2522.8130000000001</v>
      </c>
      <c r="EN47" s="89">
        <f t="shared" si="48"/>
        <v>3252.6882233500005</v>
      </c>
      <c r="EO47" s="45"/>
      <c r="EP47" s="81">
        <f t="shared" si="49"/>
        <v>4.1270701918594312E-2</v>
      </c>
      <c r="EQ47" s="79">
        <f t="shared" si="50"/>
        <v>3.8198619747217767E-3</v>
      </c>
      <c r="ER47" s="79">
        <f t="shared" si="51"/>
        <v>2.5448181416769352E-2</v>
      </c>
      <c r="ES47" s="79">
        <f t="shared" si="52"/>
        <v>3.1498254048609932E-2</v>
      </c>
      <c r="ET47" s="79">
        <f t="shared" si="53"/>
        <v>9.3663193598748376E-2</v>
      </c>
      <c r="EU47" s="79">
        <f t="shared" si="54"/>
        <v>2.461395157250677E-2</v>
      </c>
      <c r="EV47" s="79">
        <f t="shared" si="55"/>
        <v>4.0772429108933269E-3</v>
      </c>
      <c r="EW47" s="79">
        <f t="shared" si="56"/>
        <v>0</v>
      </c>
      <c r="EX47" s="79">
        <f t="shared" si="57"/>
        <v>0.77560861255915603</v>
      </c>
      <c r="EY47" s="83">
        <f t="shared" si="58"/>
        <v>0.99999999999999989</v>
      </c>
      <c r="EZ47" s="45"/>
      <c r="FA47" s="73">
        <v>3.5030000000000001</v>
      </c>
      <c r="FB47" s="74">
        <v>49.082999999999998</v>
      </c>
      <c r="FC47" s="84">
        <f t="shared" si="59"/>
        <v>52.585999999999999</v>
      </c>
      <c r="FE47" s="73">
        <f>CB47</f>
        <v>7.8579999999999997</v>
      </c>
      <c r="FF47" s="74">
        <f>CC47</f>
        <v>4.2300000000000004</v>
      </c>
      <c r="FG47" s="84">
        <f t="shared" si="60"/>
        <v>12.088000000000001</v>
      </c>
      <c r="FI47" s="90">
        <v>3080.2170000000001</v>
      </c>
      <c r="FJ47" s="91">
        <v>238.73</v>
      </c>
      <c r="FK47" s="92">
        <v>51.241999999999997</v>
      </c>
      <c r="FL47" s="93">
        <f t="shared" si="61"/>
        <v>3370.1890000000003</v>
      </c>
      <c r="FM47" s="94">
        <f t="shared" si="62"/>
        <v>0.91395972154677374</v>
      </c>
      <c r="FN47" s="95">
        <f t="shared" si="63"/>
        <v>7.0835789921574119E-2</v>
      </c>
      <c r="FO47" s="96">
        <f t="shared" si="64"/>
        <v>1.520448853165208E-2</v>
      </c>
      <c r="FP47" s="97">
        <f t="shared" si="65"/>
        <v>1</v>
      </c>
      <c r="FR47" s="70">
        <f>FV47*E47</f>
        <v>2633.1469999999999</v>
      </c>
      <c r="FS47" s="71">
        <f>E47*FW47</f>
        <v>737.04199999999992</v>
      </c>
      <c r="FT47" s="72">
        <f t="shared" si="66"/>
        <v>3370.1889999999999</v>
      </c>
      <c r="FV47" s="81">
        <v>0.78130544014000403</v>
      </c>
      <c r="FW47" s="79">
        <v>0.21869455985999597</v>
      </c>
      <c r="FX47" s="80">
        <f t="shared" si="67"/>
        <v>1</v>
      </c>
      <c r="FY47" s="45"/>
      <c r="FZ47" s="85">
        <f t="shared" si="68"/>
        <v>467.68949999999995</v>
      </c>
      <c r="GA47" s="71">
        <v>448.15100000000001</v>
      </c>
      <c r="GB47" s="72">
        <v>487.22799999999995</v>
      </c>
      <c r="GD47" s="85">
        <f t="shared" si="69"/>
        <v>3294.4504999999999</v>
      </c>
      <c r="GE47" s="71">
        <v>3218.712</v>
      </c>
      <c r="GF47" s="72">
        <v>3370.1889999999999</v>
      </c>
      <c r="GH47" s="85">
        <f t="shared" si="70"/>
        <v>1077.4025000000001</v>
      </c>
      <c r="GI47" s="71">
        <v>971.84699999999998</v>
      </c>
      <c r="GJ47" s="72">
        <f>F47</f>
        <v>1182.9580000000001</v>
      </c>
      <c r="GL47" s="85">
        <f t="shared" si="71"/>
        <v>4371.8530000000001</v>
      </c>
      <c r="GM47" s="86">
        <f t="shared" si="72"/>
        <v>4190.5590000000002</v>
      </c>
      <c r="GN47" s="87">
        <f t="shared" si="73"/>
        <v>4553.1469999999999</v>
      </c>
      <c r="GP47" s="85">
        <f t="shared" si="74"/>
        <v>2835.5150000000003</v>
      </c>
      <c r="GQ47" s="71">
        <v>2764.0340000000001</v>
      </c>
      <c r="GR47" s="72">
        <f>G47</f>
        <v>2906.9960000000001</v>
      </c>
      <c r="GS47" s="25"/>
      <c r="GT47" s="85">
        <f t="shared" si="75"/>
        <v>3913.3615</v>
      </c>
      <c r="GU47" s="71">
        <v>3773.1390000000001</v>
      </c>
      <c r="GV47" s="72">
        <f>C47</f>
        <v>4053.5839999999998</v>
      </c>
      <c r="GW47" s="25"/>
      <c r="GX47" s="97">
        <f>DX47/C47</f>
        <v>0.44960435012571592</v>
      </c>
      <c r="GY47" s="62"/>
    </row>
    <row r="48" spans="1:207" ht="13.5" customHeight="1" x14ac:dyDescent="0.25">
      <c r="A48" s="1"/>
      <c r="B48" s="98" t="s">
        <v>220</v>
      </c>
      <c r="C48" s="25">
        <v>404576.13099999982</v>
      </c>
      <c r="D48" s="25">
        <f t="shared" ref="D48:I48" si="76">SUM(D5:D47)</f>
        <v>389563.13150000008</v>
      </c>
      <c r="E48" s="25">
        <f t="shared" si="76"/>
        <v>319043.18599999993</v>
      </c>
      <c r="F48" s="25">
        <f t="shared" si="76"/>
        <v>125778.77699999999</v>
      </c>
      <c r="G48" s="25">
        <f t="shared" si="76"/>
        <v>273314.83799999999</v>
      </c>
      <c r="H48" s="25">
        <f t="shared" si="76"/>
        <v>530354.90800000005</v>
      </c>
      <c r="I48" s="25">
        <f t="shared" si="76"/>
        <v>444821.96299999999</v>
      </c>
      <c r="J48" s="25"/>
      <c r="K48" s="28">
        <f>SUM(K5:K47)</f>
        <v>4346.2889999999998</v>
      </c>
      <c r="L48" s="28">
        <f>SUM(L5:L47)</f>
        <v>977.23099999999999</v>
      </c>
      <c r="M48" s="28">
        <f>SUM(M5:M47)</f>
        <v>20.602999999999998</v>
      </c>
      <c r="N48" s="99">
        <f t="shared" si="3"/>
        <v>5344.1229999999996</v>
      </c>
      <c r="O48" s="28">
        <f>SUM(O5:O47)</f>
        <v>2528.7260000000006</v>
      </c>
      <c r="P48" s="99">
        <f t="shared" si="4"/>
        <v>2815.396999999999</v>
      </c>
      <c r="Q48" s="28">
        <f>SUM(Q5:Q47)</f>
        <v>213.07900000000006</v>
      </c>
      <c r="R48" s="99">
        <f t="shared" si="5"/>
        <v>2602.3179999999988</v>
      </c>
      <c r="S48" s="28">
        <f>SUM(S5:S47)</f>
        <v>667.1450000000001</v>
      </c>
      <c r="T48" s="28">
        <f>SUM(T5:T47)</f>
        <v>155.68100000000001</v>
      </c>
      <c r="U48" s="28">
        <f>SUM(U5:U47)</f>
        <v>-64.659000000000006</v>
      </c>
      <c r="V48" s="29">
        <f t="shared" si="6"/>
        <v>3360.4849999999988</v>
      </c>
      <c r="W48" s="28">
        <f>SUM(W5:W47)</f>
        <v>631.39599999999984</v>
      </c>
      <c r="X48" s="29">
        <f t="shared" si="7"/>
        <v>2729.088999999999</v>
      </c>
      <c r="Y48" s="28"/>
      <c r="Z48" s="31">
        <f t="shared" ref="Z48" si="77">K48/D48*2</f>
        <v>2.2313656753218697E-2</v>
      </c>
      <c r="AA48" s="32">
        <f t="shared" ref="AA48" si="78">L48/D48*2</f>
        <v>5.0170610151797686E-3</v>
      </c>
      <c r="AB48" s="33">
        <f t="shared" si="10"/>
        <v>0.41004490226852869</v>
      </c>
      <c r="AC48" s="33">
        <f t="shared" si="11"/>
        <v>0.42066432572961321</v>
      </c>
      <c r="AD48" s="33">
        <f t="shared" si="12"/>
        <v>0.47317885460345893</v>
      </c>
      <c r="AE48" s="32">
        <f t="shared" si="13"/>
        <v>1.2982368173616553E-2</v>
      </c>
      <c r="AF48" s="32">
        <f t="shared" si="14"/>
        <v>1.4011023011811879E-2</v>
      </c>
      <c r="AG48" s="32">
        <f>X48/DV48*2</f>
        <v>2.9460884952697084E-2</v>
      </c>
      <c r="AH48" s="32">
        <f>(P48+S48+T48)/DV48*2</f>
        <v>3.9275109472522315E-2</v>
      </c>
      <c r="AI48" s="32">
        <f>R48/DV48*2</f>
        <v>2.809237485781254E-2</v>
      </c>
      <c r="AJ48" s="34">
        <f>X48/FZ48*2</f>
        <v>0.1085809245312485</v>
      </c>
      <c r="AK48" s="28"/>
      <c r="AL48" s="33">
        <f t="shared" si="15"/>
        <v>6.8864785606271101E-2</v>
      </c>
      <c r="AM48" s="33">
        <f t="shared" si="16"/>
        <v>8.669010430087766E-2</v>
      </c>
      <c r="AN48" s="33">
        <f t="shared" si="17"/>
        <v>7.5816938331778133E-2</v>
      </c>
      <c r="AO48" s="28"/>
      <c r="AP48" s="33">
        <f t="shared" si="18"/>
        <v>0.85667035057755492</v>
      </c>
      <c r="AQ48" s="33">
        <f t="shared" si="19"/>
        <v>0.78138932760118407</v>
      </c>
      <c r="AR48" s="33">
        <f t="shared" si="20"/>
        <v>3.6121610046243688E-2</v>
      </c>
      <c r="AS48" s="33">
        <f t="shared" si="21"/>
        <v>0.32941682983270221</v>
      </c>
      <c r="AT48" s="33">
        <f t="shared" si="22"/>
        <v>0.15288058049573869</v>
      </c>
      <c r="AU48" s="33"/>
      <c r="AV48" s="33"/>
      <c r="AW48" s="28"/>
      <c r="AX48" s="32">
        <f>GB48/C48</f>
        <v>0.12862289199161883</v>
      </c>
      <c r="AY48" s="32"/>
      <c r="AZ48" s="32">
        <f t="shared" si="23"/>
        <v>0.2578786890495412</v>
      </c>
      <c r="BA48" s="32">
        <f t="shared" si="24"/>
        <v>0.27063600231588913</v>
      </c>
      <c r="BB48" s="100">
        <f t="shared" si="25"/>
        <v>0.29038652961645056</v>
      </c>
      <c r="BC48" s="28"/>
      <c r="BD48" s="36">
        <f t="shared" si="26"/>
        <v>0.21922006440184719</v>
      </c>
      <c r="BE48" s="33">
        <f t="shared" si="27"/>
        <v>0.23320229249727395</v>
      </c>
      <c r="BF48" s="33">
        <f t="shared" si="28"/>
        <v>0.25415949582146624</v>
      </c>
      <c r="BG48" s="25"/>
      <c r="BH48" s="32">
        <f>AVERAGE(BH5:BH47)</f>
        <v>2.2209302325581406E-2</v>
      </c>
      <c r="BI48" s="32">
        <f>AVERAGE(BI5:BI47)</f>
        <v>1.2492732558139536E-2</v>
      </c>
      <c r="BJ48" s="32">
        <f>AVERAGE(BJ5:BJ47)</f>
        <v>1.6656976744186047E-2</v>
      </c>
      <c r="BK48" s="32">
        <f>AVERAGE(BK5:BK47)</f>
        <v>1.2585365853658543E-2</v>
      </c>
      <c r="BL48" s="32"/>
      <c r="BM48" s="33"/>
      <c r="BN48" s="33"/>
      <c r="BO48" s="33"/>
      <c r="BP48" s="28"/>
      <c r="BQ48" s="31">
        <f>Q48/GD48*2</f>
        <v>1.3801993845595473E-3</v>
      </c>
      <c r="BR48" s="32">
        <f t="shared" si="34"/>
        <v>5.856677834206428E-2</v>
      </c>
      <c r="BS48" s="32">
        <f>FC48/E48</f>
        <v>1.9229876296433426E-2</v>
      </c>
      <c r="BT48" s="32">
        <f t="shared" si="35"/>
        <v>0.11420998317983334</v>
      </c>
      <c r="BU48" s="32">
        <f t="shared" si="36"/>
        <v>0.72208314456839717</v>
      </c>
      <c r="BV48" s="33">
        <f t="shared" si="37"/>
        <v>0.80066748862398229</v>
      </c>
      <c r="BW48" s="28"/>
      <c r="BX48" s="28">
        <f t="shared" ref="BX48:CU48" si="79">SUM(BX5:BX47)</f>
        <v>5983.54</v>
      </c>
      <c r="BY48" s="28">
        <f t="shared" si="79"/>
        <v>16735.282999999999</v>
      </c>
      <c r="BZ48" s="29">
        <f t="shared" si="79"/>
        <v>22718.823</v>
      </c>
      <c r="CA48" s="28">
        <f t="shared" si="79"/>
        <v>319043.18599999993</v>
      </c>
      <c r="CB48" s="28">
        <f t="shared" si="79"/>
        <v>1084.2189999999996</v>
      </c>
      <c r="CC48" s="28">
        <f t="shared" si="79"/>
        <v>596.28400000000022</v>
      </c>
      <c r="CD48" s="29">
        <f t="shared" si="79"/>
        <v>317362.68300000002</v>
      </c>
      <c r="CE48" s="28">
        <f t="shared" si="79"/>
        <v>38857.477999999996</v>
      </c>
      <c r="CF48" s="28">
        <f t="shared" si="79"/>
        <v>19973.775999999994</v>
      </c>
      <c r="CG48" s="29">
        <f t="shared" si="79"/>
        <v>58831.253999999994</v>
      </c>
      <c r="CH48" s="28">
        <f t="shared" si="79"/>
        <v>1516.6279999999997</v>
      </c>
      <c r="CI48" s="28">
        <f t="shared" si="79"/>
        <v>77.381</v>
      </c>
      <c r="CJ48" s="28">
        <f t="shared" si="79"/>
        <v>2516.9870000000001</v>
      </c>
      <c r="CK48" s="28">
        <f t="shared" si="79"/>
        <v>1552.3750000000016</v>
      </c>
      <c r="CL48" s="101">
        <f t="shared" si="79"/>
        <v>404576.13099999994</v>
      </c>
      <c r="CM48" s="28">
        <f t="shared" si="79"/>
        <v>2876.0760000000005</v>
      </c>
      <c r="CN48" s="28">
        <f t="shared" si="79"/>
        <v>273314.83799999999</v>
      </c>
      <c r="CO48" s="29">
        <f t="shared" si="79"/>
        <v>276190.91399999999</v>
      </c>
      <c r="CP48" s="28">
        <f t="shared" si="79"/>
        <v>67508.721999999994</v>
      </c>
      <c r="CQ48" s="28">
        <f t="shared" si="79"/>
        <v>2757.7659999999955</v>
      </c>
      <c r="CR48" s="29">
        <f t="shared" si="79"/>
        <v>70266.487999999983</v>
      </c>
      <c r="CS48" s="28">
        <f t="shared" si="79"/>
        <v>6080.9770000000017</v>
      </c>
      <c r="CT48" s="28">
        <f t="shared" si="79"/>
        <v>52037.752000000008</v>
      </c>
      <c r="CU48" s="28">
        <f t="shared" si="79"/>
        <v>404576.13099999982</v>
      </c>
      <c r="CV48" s="25"/>
      <c r="CW48" s="25">
        <f>SUM(CW5:CW47)</f>
        <v>61851.833761999995</v>
      </c>
      <c r="CX48" s="28"/>
      <c r="CY48" s="25">
        <f t="shared" ref="CY48:DE48" si="80">SUM(CY5:CY47)</f>
        <v>12772</v>
      </c>
      <c r="CZ48" s="25">
        <f t="shared" si="80"/>
        <v>15390</v>
      </c>
      <c r="DA48" s="25">
        <f t="shared" si="80"/>
        <v>15415</v>
      </c>
      <c r="DB48" s="25">
        <f t="shared" si="80"/>
        <v>12110</v>
      </c>
      <c r="DC48" s="25">
        <f t="shared" si="80"/>
        <v>13295</v>
      </c>
      <c r="DD48" s="25">
        <f t="shared" si="80"/>
        <v>1291.5</v>
      </c>
      <c r="DE48" s="25">
        <f t="shared" si="80"/>
        <v>70273.5</v>
      </c>
      <c r="DF48" s="39">
        <f t="shared" si="46"/>
        <v>0.17369660396500264</v>
      </c>
      <c r="DG48" s="25"/>
      <c r="DH48" s="45"/>
      <c r="DI48" s="25">
        <f>SUM(DI5:DI47)</f>
        <v>2147.4499999999998</v>
      </c>
      <c r="DJ48" s="25">
        <f>SUM(DJ5:DJ47)</f>
        <v>206</v>
      </c>
      <c r="DK48" s="102"/>
      <c r="DL48" s="102">
        <f>COUNTIF(DL5:DL47,"=yes")</f>
        <v>36</v>
      </c>
      <c r="DM48" s="102">
        <f>COUNTIF(DM5:DM47,"=EC")+COUNTIF(DM5:DM47,"=EC (listed)")+COUNTIF(DM5:DM47,"=stocks")+COUNTIF(DM5:DM47,"=stocks listed")+COUNTIF(DM5:DM47,"=EC (1Q18)")+COUNTIF(DM5:DM47,"=EC (2Q18)")</f>
        <v>24</v>
      </c>
      <c r="DN48" s="103"/>
      <c r="DO48" s="102">
        <f>COUNTIF(DO5:DO47,"=scope")+COUNTIF(DO5:DO47,"=NCR")</f>
        <v>21</v>
      </c>
      <c r="DQ48" s="25"/>
      <c r="DR48" s="25">
        <f>SUM(DR5:DR47)</f>
        <v>47671.536720999989</v>
      </c>
      <c r="DS48" s="25">
        <f>SUM(DS5:DS47)</f>
        <v>50029.857721</v>
      </c>
      <c r="DT48" s="25">
        <f>SUM(DT5:DT47)</f>
        <v>53680.946498199999</v>
      </c>
      <c r="DU48" s="25"/>
      <c r="DV48" s="25">
        <f>SUM(DV5:DV47)</f>
        <v>185268.63699999999</v>
      </c>
      <c r="DW48" s="25">
        <f>SUM(DW5:DW47)</f>
        <v>185676.95499999999</v>
      </c>
      <c r="DX48" s="25">
        <f>SUM(DX5:DX47)</f>
        <v>184860.31899999999</v>
      </c>
      <c r="DY48" s="25"/>
      <c r="DZ48" s="25">
        <f>SUM(DZ5:DZ47)</f>
        <v>47922.241999999998</v>
      </c>
      <c r="EA48" s="25">
        <f>SUM(EA5:EA47)</f>
        <v>50978.804000000004</v>
      </c>
      <c r="EB48" s="25">
        <f>SUM(EB5:EB47)</f>
        <v>55560.118999999999</v>
      </c>
      <c r="EC48" s="25">
        <f>SUM(EC5:EC47)</f>
        <v>218603.35700000002</v>
      </c>
      <c r="ED48" s="25"/>
      <c r="EE48" s="25">
        <f t="shared" ref="EE48:EN48" si="81">SUM(EE5:EE47)</f>
        <v>13484.583570840001</v>
      </c>
      <c r="EF48" s="25">
        <f t="shared" si="81"/>
        <v>1998.9577925499998</v>
      </c>
      <c r="EG48" s="25">
        <f t="shared" si="81"/>
        <v>15444.046971929998</v>
      </c>
      <c r="EH48" s="25">
        <f t="shared" si="81"/>
        <v>4764.5564422300013</v>
      </c>
      <c r="EI48" s="25">
        <f t="shared" si="81"/>
        <v>41787.492405750003</v>
      </c>
      <c r="EJ48" s="25">
        <f t="shared" si="81"/>
        <v>4907.5295450400008</v>
      </c>
      <c r="EK48" s="25">
        <f t="shared" si="81"/>
        <v>1834.8693327299995</v>
      </c>
      <c r="EL48" s="25">
        <f t="shared" si="81"/>
        <v>1560.5277930300076</v>
      </c>
      <c r="EM48" s="25">
        <f t="shared" si="81"/>
        <v>223753.09400000004</v>
      </c>
      <c r="EN48" s="25">
        <f t="shared" si="81"/>
        <v>309535.65785410005</v>
      </c>
      <c r="EO48" s="25"/>
      <c r="EP48" s="33">
        <f t="shared" ref="EP48:EX48" si="82">EE48/$EN48</f>
        <v>4.3563910097866573E-2</v>
      </c>
      <c r="EQ48" s="33">
        <f t="shared" si="82"/>
        <v>6.457924125472519E-3</v>
      </c>
      <c r="ER48" s="33">
        <f t="shared" si="82"/>
        <v>4.9894241842759084E-2</v>
      </c>
      <c r="ES48" s="33">
        <f t="shared" si="82"/>
        <v>1.5392593135346558E-2</v>
      </c>
      <c r="ET48" s="33">
        <f t="shared" si="82"/>
        <v>0.135000576978587</v>
      </c>
      <c r="EU48" s="33">
        <f t="shared" si="82"/>
        <v>1.5854488555735863E-2</v>
      </c>
      <c r="EV48" s="33">
        <f t="shared" si="82"/>
        <v>5.9278124706229063E-3</v>
      </c>
      <c r="EW48" s="33">
        <f t="shared" si="82"/>
        <v>5.0415121923224884E-3</v>
      </c>
      <c r="EX48" s="33">
        <f t="shared" si="82"/>
        <v>0.72286694060128698</v>
      </c>
      <c r="EY48" s="39">
        <f t="shared" si="58"/>
        <v>1</v>
      </c>
      <c r="EZ48" s="45"/>
      <c r="FA48" s="28">
        <f>SUM(FA5:FA47)</f>
        <v>3000.9400000000005</v>
      </c>
      <c r="FB48" s="28">
        <f>SUM(FB5:FB47)</f>
        <v>3134.2210000000005</v>
      </c>
      <c r="FC48" s="28">
        <f>SUM(FC5:FC47)</f>
        <v>6135.1609999999991</v>
      </c>
      <c r="FE48" s="28">
        <f>SUM(FE5:FE47)</f>
        <v>1084.2189999999996</v>
      </c>
      <c r="FF48" s="28">
        <f>SUM(FF5:FF47)</f>
        <v>596.28400000000022</v>
      </c>
      <c r="FG48" s="28">
        <f>SUM(FG5:FG47)</f>
        <v>1680.5030000000002</v>
      </c>
      <c r="FI48" s="28">
        <f t="shared" ref="FI48:FK48" si="83">SUM(FI5:FI47)</f>
        <v>281818.28999999998</v>
      </c>
      <c r="FJ48" s="28">
        <f t="shared" si="83"/>
        <v>28742.628000000001</v>
      </c>
      <c r="FK48" s="28">
        <f t="shared" si="83"/>
        <v>6239.3630000000012</v>
      </c>
      <c r="FL48" s="54">
        <f>SUM(FL5:FL47)</f>
        <v>316800.28099999984</v>
      </c>
      <c r="FM48" s="104">
        <f t="shared" si="62"/>
        <v>0.88957714655562481</v>
      </c>
      <c r="FN48" s="104">
        <f t="shared" si="63"/>
        <v>9.0727911949042797E-2</v>
      </c>
      <c r="FO48" s="104">
        <f t="shared" si="64"/>
        <v>1.9694941495332841E-2</v>
      </c>
      <c r="FP48" s="104">
        <f t="shared" si="65"/>
        <v>1.0000000000000004</v>
      </c>
      <c r="FR48" s="25">
        <f>SUM(FR5:FR47)</f>
        <v>230375.70699999999</v>
      </c>
      <c r="FS48" s="25">
        <f>SUM(FS5:FS47)</f>
        <v>88667.479000000007</v>
      </c>
      <c r="FT48" s="25">
        <f>SUM(FT5:FT47)</f>
        <v>319043.18599999993</v>
      </c>
      <c r="FV48" s="33">
        <f>FR48/FT48</f>
        <v>0.72208314456839717</v>
      </c>
      <c r="FW48" s="33">
        <f>FS48/FT48</f>
        <v>0.27791685543160299</v>
      </c>
      <c r="FX48" s="34">
        <f t="shared" si="67"/>
        <v>1.0000000000000002</v>
      </c>
      <c r="FY48" s="45"/>
      <c r="FZ48" s="25">
        <f>SUM(FZ5:FZ47)</f>
        <v>50268.295499999993</v>
      </c>
      <c r="GA48" s="25">
        <f>SUM(GA5:GA47)</f>
        <v>48498.839000000007</v>
      </c>
      <c r="GB48" s="25">
        <f>SUM(GB5:GB47)</f>
        <v>52037.752000000008</v>
      </c>
      <c r="GD48" s="25">
        <f>SUM(GD5:GD47)</f>
        <v>308765.5340000001</v>
      </c>
      <c r="GE48" s="25">
        <f>SUM(GE5:GE47)</f>
        <v>298487.88199999998</v>
      </c>
      <c r="GF48" s="25">
        <f>SUM(GF5:GF47)</f>
        <v>319043.18599999993</v>
      </c>
      <c r="GH48" s="25">
        <f>SUM(GH5:GH47)</f>
        <v>118313.71549999998</v>
      </c>
      <c r="GI48" s="25">
        <f>SUM(GI5:GI47)</f>
        <v>110848.65400000001</v>
      </c>
      <c r="GJ48" s="25">
        <f>SUM(GJ5:GJ47)</f>
        <v>125778.77699999999</v>
      </c>
      <c r="GL48" s="25">
        <f>SUM(GL5:GL47)</f>
        <v>427079.24950000009</v>
      </c>
      <c r="GM48" s="25">
        <f>SUM(GM5:GM47)</f>
        <v>409336.53600000002</v>
      </c>
      <c r="GN48" s="25">
        <f>SUM(GN5:GN47)</f>
        <v>444821.96299999999</v>
      </c>
      <c r="GP48" s="25">
        <f>SUM(GP5:GP47)</f>
        <v>263684.06650000007</v>
      </c>
      <c r="GQ48" s="25">
        <f>SUM(GQ5:GQ47)</f>
        <v>254053.29499999995</v>
      </c>
      <c r="GR48" s="25">
        <f>SUM(GR5:GR47)</f>
        <v>273314.83799999999</v>
      </c>
      <c r="GS48" s="25"/>
      <c r="GT48" s="25">
        <f>SUM(GT5:GT47)</f>
        <v>389563.13150000008</v>
      </c>
      <c r="GU48" s="25">
        <f>SUM(GU5:GU47)</f>
        <v>374550.13199999998</v>
      </c>
      <c r="GV48" s="25">
        <f>SUM(GV5:GV47)</f>
        <v>404576.13099999982</v>
      </c>
      <c r="GW48" s="25"/>
      <c r="GX48" s="104">
        <f>DX48/C48</f>
        <v>0.45692344366207821</v>
      </c>
      <c r="GY48" s="1"/>
    </row>
    <row r="49" spans="1:222" ht="13.5" customHeight="1" x14ac:dyDescent="0.25">
      <c r="A49" s="1"/>
      <c r="B49" s="1"/>
      <c r="C49" s="105"/>
      <c r="D49" s="105"/>
      <c r="E49" s="105"/>
      <c r="F49" s="105"/>
      <c r="G49" s="105"/>
      <c r="H49" s="105"/>
      <c r="I49" s="105"/>
      <c r="J49" s="1"/>
      <c r="K49" s="56"/>
      <c r="L49" s="56"/>
      <c r="M49" s="56"/>
      <c r="N49" s="105"/>
      <c r="O49" s="56"/>
      <c r="P49" s="105"/>
      <c r="Q49" s="56"/>
      <c r="R49" s="105"/>
      <c r="S49" s="56"/>
      <c r="T49" s="56"/>
      <c r="U49" s="56"/>
      <c r="V49" s="56"/>
      <c r="W49" s="56"/>
      <c r="X49" s="56"/>
      <c r="Y49" s="1"/>
      <c r="Z49" s="9"/>
      <c r="AA49" s="9"/>
      <c r="AB49" s="104"/>
      <c r="AC49" s="104"/>
      <c r="AD49" s="104"/>
      <c r="AE49" s="106"/>
      <c r="AF49" s="9"/>
      <c r="AG49" s="9"/>
      <c r="AH49" s="9"/>
      <c r="AI49" s="9"/>
      <c r="AJ49" s="58"/>
      <c r="AL49" s="104"/>
      <c r="AM49" s="104"/>
      <c r="AN49" s="104"/>
      <c r="AP49" s="104"/>
      <c r="AQ49" s="104"/>
      <c r="AR49" s="104"/>
      <c r="AS49" s="104"/>
      <c r="AT49" s="104"/>
      <c r="AU49" s="104"/>
      <c r="AV49" s="104"/>
      <c r="AX49" s="9"/>
      <c r="AY49" s="32"/>
      <c r="AZ49" s="9"/>
      <c r="BA49" s="9"/>
      <c r="BB49" s="9"/>
      <c r="BD49" s="104"/>
      <c r="BE49" s="104"/>
      <c r="BF49" s="104"/>
      <c r="BG49" s="105"/>
      <c r="BH49" s="104"/>
      <c r="BI49" s="104"/>
      <c r="BJ49" s="104"/>
      <c r="BK49" s="104"/>
      <c r="BL49" s="104"/>
      <c r="BM49" s="104"/>
      <c r="BN49" s="104"/>
      <c r="BO49" s="104"/>
      <c r="BQ49" s="9"/>
      <c r="BR49" s="9"/>
      <c r="BS49" s="9"/>
      <c r="BT49" s="9"/>
      <c r="BU49" s="9"/>
      <c r="BV49" s="9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107"/>
      <c r="CM49" s="56"/>
      <c r="CN49" s="56"/>
      <c r="CO49" s="56"/>
      <c r="CP49" s="56"/>
      <c r="CQ49" s="56"/>
      <c r="CR49" s="56"/>
      <c r="CS49" s="56"/>
      <c r="CT49" s="56"/>
      <c r="CU49" s="56"/>
      <c r="CY49" s="33">
        <f t="shared" ref="CY49:DD49" si="84">CY48/$DE$48</f>
        <v>0.18174703124221792</v>
      </c>
      <c r="CZ49" s="33">
        <f t="shared" si="84"/>
        <v>0.21900147281692245</v>
      </c>
      <c r="DA49" s="33">
        <f t="shared" si="84"/>
        <v>0.21935722569674201</v>
      </c>
      <c r="DB49" s="33">
        <f t="shared" si="84"/>
        <v>0.17232669498459591</v>
      </c>
      <c r="DC49" s="33">
        <f t="shared" si="84"/>
        <v>0.18918938148804315</v>
      </c>
      <c r="DD49" s="33">
        <f t="shared" si="84"/>
        <v>1.837819377147858E-2</v>
      </c>
      <c r="DE49" s="108"/>
      <c r="DF49" s="34">
        <f>CY49+CZ49+DA49+DB49+DC49+DD49</f>
        <v>1.0000000000000002</v>
      </c>
      <c r="DG49" s="105"/>
      <c r="DI49" s="1"/>
      <c r="DJ49" s="1"/>
      <c r="DK49" s="7"/>
      <c r="DL49" s="1"/>
      <c r="DM49" s="1"/>
      <c r="DN49" s="25"/>
      <c r="DO49" s="102" t="s">
        <v>174</v>
      </c>
      <c r="DP49" s="102">
        <f>COUNTIF(DP5:DP47,"=a-")</f>
        <v>12</v>
      </c>
      <c r="DQ49" s="105"/>
      <c r="DR49" s="105"/>
      <c r="DS49" s="105"/>
      <c r="DT49" s="105"/>
      <c r="DU49" s="105"/>
      <c r="DV49" s="105"/>
      <c r="DW49" s="105"/>
      <c r="DX49" s="105"/>
      <c r="DY49" s="105"/>
      <c r="DZ49" s="105"/>
      <c r="EA49" s="105"/>
      <c r="EB49" s="105"/>
      <c r="EC49" s="105"/>
      <c r="ED49" s="10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56"/>
      <c r="FB49" s="56"/>
      <c r="FC49" s="56"/>
      <c r="FE49" s="56"/>
      <c r="FF49" s="56"/>
      <c r="FG49" s="56"/>
      <c r="FI49" s="56"/>
      <c r="FJ49" s="56"/>
      <c r="FK49" s="56"/>
      <c r="FL49" s="56"/>
      <c r="FM49" s="56"/>
      <c r="FN49" s="56"/>
      <c r="FO49" s="56"/>
      <c r="FP49" s="56"/>
      <c r="FR49" s="105"/>
      <c r="FS49" s="105"/>
      <c r="FT49" s="105"/>
      <c r="FV49" s="104"/>
      <c r="FW49" s="104"/>
      <c r="FX49" s="109"/>
      <c r="FY49" s="1"/>
      <c r="FZ49" s="105"/>
      <c r="GA49" s="105"/>
      <c r="GB49" s="105"/>
      <c r="GD49" s="105"/>
      <c r="GE49" s="105"/>
      <c r="GF49" s="105"/>
      <c r="GH49" s="105"/>
      <c r="GI49" s="105"/>
      <c r="GJ49" s="105"/>
      <c r="GL49" s="1"/>
      <c r="GP49" s="105"/>
      <c r="GQ49" s="105"/>
      <c r="GR49" s="105"/>
      <c r="GS49" s="1"/>
      <c r="GT49" s="105"/>
      <c r="GU49" s="105"/>
      <c r="GV49" s="105"/>
      <c r="GW49" s="1"/>
      <c r="GX49" s="104"/>
      <c r="GY49" s="1"/>
    </row>
    <row r="50" spans="1:222" ht="13.5" customHeight="1" x14ac:dyDescent="0.25">
      <c r="A50" s="1"/>
      <c r="B50" s="1"/>
      <c r="C50" s="110"/>
      <c r="D50" s="110"/>
      <c r="E50" s="110"/>
      <c r="F50" s="110"/>
      <c r="G50" s="110"/>
      <c r="H50" s="110"/>
      <c r="I50" s="111"/>
      <c r="J50" s="8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8"/>
      <c r="Z50" s="112"/>
      <c r="AA50" s="112"/>
      <c r="AB50" s="112"/>
      <c r="AC50" s="112"/>
      <c r="AD50" s="112"/>
      <c r="AE50" s="112"/>
      <c r="AF50" s="112"/>
      <c r="AG50" s="112"/>
      <c r="AH50" s="8"/>
      <c r="AI50" s="8"/>
      <c r="AJ50" s="112"/>
      <c r="AK50" s="8"/>
      <c r="AL50" s="112"/>
      <c r="AM50" s="112"/>
      <c r="AN50" s="112"/>
      <c r="AO50" s="8"/>
      <c r="AP50" s="112"/>
      <c r="AQ50" s="112"/>
      <c r="AR50" s="112"/>
      <c r="AS50" s="112"/>
      <c r="AT50" s="112"/>
      <c r="AU50" s="8"/>
      <c r="AV50" s="8"/>
      <c r="AW50" s="8"/>
      <c r="AX50" s="112"/>
      <c r="AY50" s="8"/>
      <c r="AZ50" s="112"/>
      <c r="BA50" s="112"/>
      <c r="BB50" s="112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112"/>
      <c r="BR50" s="8"/>
      <c r="BS50" s="112"/>
      <c r="BT50" s="112"/>
      <c r="BU50" s="112"/>
      <c r="BV50" s="8"/>
      <c r="BW50" s="8"/>
      <c r="BX50" s="110"/>
      <c r="BY50" s="110"/>
      <c r="BZ50" s="110"/>
      <c r="CA50" s="110"/>
      <c r="CB50" s="110"/>
      <c r="CC50" s="110"/>
      <c r="CD50" s="110"/>
      <c r="CE50" s="110"/>
      <c r="CF50" s="110"/>
      <c r="CG50" s="110"/>
      <c r="CH50" s="110"/>
      <c r="CI50" s="110"/>
      <c r="CJ50" s="110"/>
      <c r="CK50" s="110"/>
      <c r="CL50" s="113"/>
      <c r="CM50" s="110"/>
      <c r="CN50" s="110"/>
      <c r="CO50" s="110"/>
      <c r="CP50" s="110"/>
      <c r="CQ50" s="110"/>
      <c r="CR50" s="110"/>
      <c r="CS50" s="110"/>
      <c r="CT50" s="110"/>
      <c r="CU50" s="110"/>
      <c r="CV50" s="8"/>
      <c r="CW50" s="8"/>
      <c r="CX50" s="8"/>
      <c r="CY50" s="8"/>
      <c r="CZ50" s="8"/>
      <c r="DA50" s="8"/>
      <c r="DB50" s="8"/>
      <c r="DC50" s="8"/>
      <c r="DD50" s="8"/>
      <c r="DE50" s="7"/>
      <c r="DF50" s="8"/>
      <c r="DG50" s="8"/>
      <c r="DH50" s="8"/>
      <c r="DI50" s="8"/>
      <c r="DJ50" s="8"/>
      <c r="DK50" s="8"/>
      <c r="DL50" s="8"/>
      <c r="DM50" s="8"/>
      <c r="DN50" s="8"/>
      <c r="DO50" s="102" t="s">
        <v>179</v>
      </c>
      <c r="DP50" s="102">
        <f>COUNTIF(DP5:DP47,"=bbb+")</f>
        <v>9</v>
      </c>
      <c r="DQ50" s="8"/>
      <c r="DR50" s="110"/>
      <c r="DS50" s="110"/>
      <c r="DT50" s="110"/>
      <c r="DU50" s="8"/>
      <c r="DV50" s="110"/>
      <c r="DW50" s="110"/>
      <c r="DX50" s="110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110"/>
      <c r="FB50" s="110"/>
      <c r="FC50" s="110"/>
      <c r="FD50" s="8"/>
      <c r="FE50" s="110"/>
      <c r="FF50" s="110"/>
      <c r="FG50" s="110"/>
      <c r="FH50" s="110"/>
      <c r="FI50" s="110"/>
      <c r="FJ50" s="110"/>
      <c r="FK50" s="110"/>
      <c r="FL50" s="110"/>
      <c r="FM50" s="110"/>
      <c r="FN50" s="110"/>
      <c r="FO50" s="110"/>
      <c r="FP50" s="110"/>
      <c r="FQ50" s="8"/>
      <c r="FR50" s="110"/>
      <c r="FS50" s="110"/>
      <c r="FT50" s="110"/>
      <c r="FU50" s="8"/>
      <c r="FV50" s="8"/>
      <c r="FW50" s="8"/>
      <c r="FX50" s="114"/>
      <c r="FY50" s="8"/>
      <c r="FZ50" s="110"/>
      <c r="GA50" s="110"/>
      <c r="GB50" s="110"/>
      <c r="GC50" s="8"/>
      <c r="GD50" s="110"/>
      <c r="GE50" s="110"/>
      <c r="GF50" s="110"/>
      <c r="GG50" s="8"/>
      <c r="GH50" s="110"/>
      <c r="GI50" s="110"/>
      <c r="GJ50" s="110"/>
      <c r="GK50" s="8"/>
      <c r="GL50" s="8"/>
      <c r="GM50" s="8"/>
      <c r="GN50" s="8"/>
      <c r="GO50" s="8"/>
      <c r="GP50" s="110"/>
      <c r="GQ50" s="110"/>
      <c r="GR50" s="110"/>
      <c r="GS50" s="8"/>
      <c r="GT50" s="110"/>
      <c r="GU50" s="110"/>
      <c r="GV50" s="110"/>
      <c r="GW50" s="8"/>
      <c r="GX50" s="112"/>
      <c r="GY50" s="1"/>
    </row>
    <row r="51" spans="1:222" ht="13.5" customHeight="1" x14ac:dyDescent="0.25">
      <c r="A51" s="1"/>
      <c r="B51" s="8" t="s">
        <v>221</v>
      </c>
      <c r="C51" s="1"/>
      <c r="D51" s="1"/>
      <c r="E51" s="1"/>
      <c r="F51" s="11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BG51" s="1"/>
      <c r="BX51" s="115"/>
      <c r="BY51" s="115"/>
      <c r="BZ51" s="115"/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/>
      <c r="CT51" s="115"/>
      <c r="CU51" s="115"/>
      <c r="CY51" s="116"/>
      <c r="CZ51" s="7"/>
      <c r="DA51" s="7"/>
      <c r="DB51" s="7"/>
      <c r="DC51" s="7"/>
      <c r="DD51" s="7"/>
      <c r="DE51" s="7"/>
      <c r="DF51" s="1"/>
      <c r="DG51" s="1"/>
      <c r="DI51" s="1"/>
      <c r="DJ51" s="1"/>
      <c r="DK51" s="1"/>
      <c r="DL51" s="1"/>
      <c r="DM51" s="1"/>
      <c r="DN51" s="1"/>
      <c r="DO51" s="1"/>
      <c r="DP51" s="1"/>
      <c r="DQ51" s="1"/>
      <c r="DR51" s="105"/>
      <c r="DS51" s="105"/>
      <c r="DT51" s="105"/>
      <c r="DU51" s="1"/>
      <c r="DV51" s="105"/>
      <c r="DW51" s="105"/>
      <c r="DX51" s="105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E51" s="1"/>
      <c r="FF51" s="1"/>
      <c r="FG51" s="1"/>
      <c r="FI51" s="1"/>
      <c r="FJ51" s="1"/>
      <c r="FK51" s="1"/>
      <c r="FL51" s="9"/>
      <c r="FM51" s="1"/>
      <c r="FN51" s="1"/>
      <c r="FO51" s="1"/>
      <c r="FP51" s="1"/>
      <c r="FR51" s="105"/>
      <c r="FS51" s="105"/>
      <c r="FT51" s="105"/>
      <c r="FX51" s="117"/>
      <c r="FY51" s="1"/>
      <c r="FZ51" s="1"/>
      <c r="GA51" s="1"/>
      <c r="GB51" s="1"/>
      <c r="GD51" s="1"/>
      <c r="GE51" s="1"/>
      <c r="GF51" s="118"/>
      <c r="GH51" s="1"/>
      <c r="GI51" s="1"/>
      <c r="GJ51" s="105"/>
      <c r="GL51" s="1"/>
      <c r="GP51" s="1"/>
      <c r="GQ51" s="1"/>
      <c r="GR51" s="1"/>
      <c r="GS51" s="1"/>
      <c r="GT51" s="1"/>
      <c r="GU51" s="1"/>
      <c r="GV51" s="1"/>
      <c r="GW51" s="1"/>
      <c r="GX51" s="1"/>
      <c r="GY51" s="1"/>
    </row>
    <row r="52" spans="1:222" ht="13.5" customHeight="1" x14ac:dyDescent="0.25">
      <c r="A52" s="1"/>
      <c r="B52" s="119" t="s">
        <v>225</v>
      </c>
      <c r="C52" s="1"/>
      <c r="D52" s="1"/>
      <c r="E52" s="1"/>
      <c r="F52" s="11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BG52" s="1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Y52" s="116"/>
      <c r="CZ52" s="7"/>
      <c r="DA52" s="7"/>
      <c r="DB52" s="7"/>
      <c r="DC52" s="7"/>
      <c r="DD52" s="7"/>
      <c r="DE52" s="7"/>
      <c r="DF52" s="1"/>
      <c r="DG52" s="1"/>
      <c r="DI52" s="1"/>
      <c r="DJ52" s="1"/>
      <c r="DK52" s="1"/>
      <c r="DL52" s="1"/>
      <c r="DM52" s="1"/>
      <c r="DN52" s="1"/>
      <c r="DO52" s="1"/>
      <c r="DP52" s="1"/>
      <c r="DQ52" s="1"/>
      <c r="DR52" s="105"/>
      <c r="DS52" s="105"/>
      <c r="DT52" s="105"/>
      <c r="DU52" s="1"/>
      <c r="DV52" s="105"/>
      <c r="DW52" s="105"/>
      <c r="DX52" s="105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E52" s="1"/>
      <c r="FF52" s="1"/>
      <c r="FG52" s="1"/>
      <c r="FI52" s="1"/>
      <c r="FJ52" s="1"/>
      <c r="FK52" s="1"/>
      <c r="FL52" s="9"/>
      <c r="FM52" s="1"/>
      <c r="FN52" s="1"/>
      <c r="FO52" s="1"/>
      <c r="FP52" s="1"/>
      <c r="FR52" s="105"/>
      <c r="FS52" s="105"/>
      <c r="FT52" s="105"/>
      <c r="FX52" s="117"/>
      <c r="FY52" s="1"/>
      <c r="FZ52" s="1"/>
      <c r="GA52" s="1"/>
      <c r="GB52" s="1"/>
      <c r="GD52" s="1"/>
      <c r="GE52" s="1"/>
      <c r="GF52" s="118"/>
      <c r="GH52" s="1"/>
      <c r="GI52" s="1"/>
      <c r="GJ52" s="105"/>
      <c r="GL52" s="1"/>
      <c r="GP52" s="1"/>
      <c r="GQ52" s="1"/>
      <c r="GR52" s="1"/>
      <c r="GS52" s="1"/>
      <c r="GT52" s="1"/>
      <c r="GU52" s="1"/>
      <c r="GV52" s="1"/>
      <c r="GW52" s="1"/>
      <c r="GX52" s="1"/>
      <c r="GY52" s="1"/>
    </row>
    <row r="53" spans="1:222" ht="13.5" customHeight="1" x14ac:dyDescent="0.25">
      <c r="A53" s="1"/>
      <c r="B53" s="119" t="s">
        <v>226</v>
      </c>
      <c r="C53" s="1"/>
      <c r="D53" s="1"/>
      <c r="E53" s="1"/>
      <c r="F53" s="11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BG53" s="1"/>
      <c r="BX53" s="115"/>
      <c r="BY53" s="115"/>
      <c r="BZ53" s="115"/>
      <c r="CA53" s="115"/>
      <c r="CB53" s="115"/>
      <c r="CC53" s="115"/>
      <c r="CD53" s="115"/>
      <c r="CE53" s="115"/>
      <c r="CF53" s="115"/>
      <c r="CG53" s="115"/>
      <c r="CH53" s="115"/>
      <c r="CI53" s="115"/>
      <c r="CJ53" s="115"/>
      <c r="CK53" s="115"/>
      <c r="CL53" s="115"/>
      <c r="CM53" s="115"/>
      <c r="CN53" s="115"/>
      <c r="CO53" s="115"/>
      <c r="CP53" s="115"/>
      <c r="CQ53" s="115"/>
      <c r="CR53" s="115"/>
      <c r="CS53" s="115"/>
      <c r="CT53" s="115"/>
      <c r="CU53" s="115"/>
      <c r="CY53" s="116"/>
      <c r="CZ53" s="7"/>
      <c r="DA53" s="7"/>
      <c r="DB53" s="7"/>
      <c r="DC53" s="7"/>
      <c r="DD53" s="7"/>
      <c r="DE53" s="7"/>
      <c r="DF53" s="1"/>
      <c r="DG53" s="1"/>
      <c r="DI53" s="1"/>
      <c r="DJ53" s="1"/>
      <c r="DK53" s="1"/>
      <c r="DL53" s="1"/>
      <c r="DM53" s="1"/>
      <c r="DN53" s="1"/>
      <c r="DO53" s="1"/>
      <c r="DP53" s="1"/>
      <c r="DQ53" s="1"/>
      <c r="DR53" s="105"/>
      <c r="DS53" s="105"/>
      <c r="DT53" s="105"/>
      <c r="DU53" s="1"/>
      <c r="DV53" s="105"/>
      <c r="DW53" s="105"/>
      <c r="DX53" s="105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E53" s="1"/>
      <c r="FF53" s="1"/>
      <c r="FG53" s="1"/>
      <c r="FI53" s="1"/>
      <c r="FJ53" s="1"/>
      <c r="FK53" s="1"/>
      <c r="FL53" s="9"/>
      <c r="FM53" s="1"/>
      <c r="FN53" s="1"/>
      <c r="FO53" s="1"/>
      <c r="FP53" s="1"/>
      <c r="FR53" s="105"/>
      <c r="FS53" s="105"/>
      <c r="FT53" s="105"/>
      <c r="FX53" s="117"/>
      <c r="FY53" s="1"/>
      <c r="FZ53" s="1"/>
      <c r="GA53" s="1"/>
      <c r="GB53" s="1"/>
      <c r="GD53" s="1"/>
      <c r="GE53" s="1"/>
      <c r="GF53" s="118"/>
      <c r="GH53" s="1"/>
      <c r="GI53" s="1"/>
      <c r="GJ53" s="105"/>
      <c r="GL53" s="1"/>
      <c r="GP53" s="1"/>
      <c r="GQ53" s="1"/>
      <c r="GR53" s="1"/>
      <c r="GS53" s="1"/>
      <c r="GT53" s="1"/>
      <c r="GU53" s="1"/>
      <c r="GV53" s="1"/>
      <c r="GW53" s="1"/>
      <c r="GX53" s="1"/>
      <c r="GY53" s="1"/>
    </row>
    <row r="54" spans="1:222" x14ac:dyDescent="0.25">
      <c r="A54" s="1"/>
      <c r="B54" s="119" t="s">
        <v>227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BG54" s="1"/>
      <c r="CS54" s="62"/>
      <c r="CY54" s="1"/>
      <c r="CZ54" s="1"/>
      <c r="DA54" s="1"/>
      <c r="DB54" s="1"/>
      <c r="DC54" s="1"/>
      <c r="DD54" s="120" t="s">
        <v>222</v>
      </c>
      <c r="DE54" s="1"/>
      <c r="DF54" s="1"/>
      <c r="DG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E54" s="1"/>
      <c r="FF54" s="1"/>
      <c r="FG54" s="1"/>
      <c r="FI54" s="1"/>
      <c r="FJ54" s="1"/>
      <c r="FK54" s="1"/>
      <c r="FL54" s="1"/>
      <c r="FM54" s="1"/>
      <c r="FN54" s="1"/>
      <c r="FO54" s="1"/>
      <c r="FP54" s="1"/>
      <c r="FY54" s="1"/>
      <c r="FZ54" s="1"/>
      <c r="GA54" s="1"/>
      <c r="GB54" s="1"/>
      <c r="GD54" s="1"/>
      <c r="GE54" s="1"/>
      <c r="GF54" s="1"/>
      <c r="GH54" s="1"/>
      <c r="GI54" s="1"/>
      <c r="GJ54" s="1"/>
      <c r="GL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HN54"/>
    </row>
    <row r="55" spans="1:222" x14ac:dyDescent="0.25">
      <c r="A55" s="1"/>
      <c r="B55" s="121" t="s">
        <v>228</v>
      </c>
      <c r="C55" s="1"/>
      <c r="D55" s="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BG55" s="1"/>
      <c r="CY55" s="1"/>
      <c r="CZ55" s="1"/>
      <c r="DA55" s="1"/>
      <c r="DB55" s="1"/>
      <c r="DC55" s="1"/>
      <c r="DD55" s="1"/>
      <c r="DE55" s="1"/>
      <c r="DF55" s="1"/>
      <c r="DG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E55" s="1"/>
      <c r="FF55" s="1"/>
      <c r="FG55" s="1"/>
      <c r="FI55" s="1"/>
      <c r="FJ55" s="1"/>
      <c r="FK55" s="1"/>
      <c r="FL55" s="1"/>
      <c r="FM55" s="1"/>
      <c r="FN55" s="1"/>
      <c r="FO55" s="1"/>
      <c r="FP55" s="1"/>
      <c r="FY55" s="1"/>
      <c r="FZ55" s="1"/>
      <c r="GA55" s="1"/>
      <c r="GB55" s="1"/>
      <c r="GD55" s="1"/>
      <c r="GE55" s="1"/>
      <c r="GF55" s="1"/>
      <c r="GH55" s="1"/>
      <c r="GI55" s="1"/>
      <c r="GJ55" s="1"/>
      <c r="GL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HN55"/>
    </row>
    <row r="56" spans="1:222" x14ac:dyDescent="0.25">
      <c r="A56" s="1"/>
      <c r="B56" s="12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BG56" s="1"/>
      <c r="CY56" s="1"/>
      <c r="CZ56" s="1"/>
      <c r="DA56" s="1"/>
      <c r="DB56" s="1"/>
      <c r="DC56" s="1"/>
      <c r="DD56" s="1"/>
      <c r="DE56" s="1"/>
      <c r="DF56" s="1"/>
      <c r="DG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E56" s="1"/>
      <c r="FF56" s="1"/>
      <c r="FG56" s="1"/>
      <c r="FI56" s="1"/>
      <c r="FJ56" s="1"/>
      <c r="FK56" s="1"/>
      <c r="FL56" s="1"/>
      <c r="FM56" s="1"/>
      <c r="FN56" s="1"/>
      <c r="FO56" s="1"/>
      <c r="FP56" s="1"/>
      <c r="FY56" s="1"/>
      <c r="FZ56" s="1"/>
      <c r="GA56" s="1"/>
      <c r="GB56" s="1"/>
      <c r="GD56" s="1"/>
      <c r="GE56" s="1"/>
      <c r="GF56" s="1"/>
      <c r="GH56" s="1"/>
      <c r="GI56" s="1"/>
      <c r="GJ56" s="1"/>
      <c r="GL56" s="1"/>
      <c r="GP56" s="1"/>
      <c r="GQ56" s="1"/>
      <c r="GR56" s="1"/>
      <c r="GS56" s="1"/>
      <c r="GT56" s="1"/>
      <c r="GU56" s="1"/>
      <c r="GV56" s="1"/>
      <c r="GW56" s="1"/>
      <c r="GX56" s="1"/>
      <c r="GY56" s="1"/>
    </row>
    <row r="57" spans="1:222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BG57" s="1"/>
      <c r="CY57" s="1"/>
      <c r="CZ57" s="1"/>
      <c r="DA57" s="1"/>
      <c r="DB57" s="1"/>
      <c r="DC57" s="1"/>
      <c r="DD57" s="1"/>
      <c r="DE57" s="1"/>
      <c r="DF57" s="1"/>
      <c r="DG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E57" s="1"/>
      <c r="FF57" s="1"/>
      <c r="FG57" s="1"/>
      <c r="FI57" s="1"/>
      <c r="FJ57" s="1"/>
      <c r="FK57" s="1"/>
      <c r="FL57" s="1"/>
      <c r="FM57" s="1"/>
      <c r="FN57" s="1"/>
      <c r="FO57" s="1"/>
      <c r="FP57" s="1"/>
      <c r="FY57" s="1"/>
      <c r="FZ57" s="1"/>
      <c r="GA57" s="1"/>
      <c r="GB57" s="1"/>
      <c r="GD57" s="1"/>
      <c r="GE57" s="1"/>
      <c r="GF57" s="1"/>
      <c r="GH57" s="1"/>
      <c r="GI57" s="1"/>
      <c r="GJ57" s="1"/>
      <c r="GL57" s="1"/>
      <c r="GP57" s="1"/>
      <c r="GQ57" s="1"/>
      <c r="GR57" s="1"/>
      <c r="GS57" s="1"/>
      <c r="GT57" s="1"/>
      <c r="GU57" s="1"/>
      <c r="GV57" s="1"/>
      <c r="GW57" s="1"/>
      <c r="GX57" s="1"/>
    </row>
    <row r="58" spans="1:222" x14ac:dyDescent="0.25">
      <c r="A58" s="1"/>
      <c r="B58" s="23" t="s">
        <v>223</v>
      </c>
      <c r="C58" s="24">
        <v>3640.23</v>
      </c>
      <c r="D58" s="25">
        <f>GT58</f>
        <v>3703.8230000000003</v>
      </c>
      <c r="E58" s="25">
        <v>2229.4209999999998</v>
      </c>
      <c r="F58" s="25">
        <v>1768.615</v>
      </c>
      <c r="G58" s="25">
        <v>2525.386</v>
      </c>
      <c r="H58" s="25">
        <f>C58+F58</f>
        <v>5408.8450000000003</v>
      </c>
      <c r="I58" s="26">
        <f>E58+F58</f>
        <v>3998.0360000000001</v>
      </c>
      <c r="J58" s="25"/>
      <c r="K58" s="27">
        <v>38.012999999999998</v>
      </c>
      <c r="L58" s="28">
        <v>8.8309999999999995</v>
      </c>
      <c r="M58" s="28">
        <v>0</v>
      </c>
      <c r="N58" s="29">
        <f>K58+L58+M58</f>
        <v>46.843999999999994</v>
      </c>
      <c r="O58" s="28">
        <v>24.790999999999997</v>
      </c>
      <c r="P58" s="29">
        <f>N58-O58</f>
        <v>22.052999999999997</v>
      </c>
      <c r="Q58" s="28">
        <v>53.512999999999998</v>
      </c>
      <c r="R58" s="29">
        <f>P58-Q58</f>
        <v>-31.46</v>
      </c>
      <c r="S58" s="28">
        <v>3.9020000000000001</v>
      </c>
      <c r="T58" s="28">
        <v>-0.60299999999999998</v>
      </c>
      <c r="U58" s="28">
        <v>-2</v>
      </c>
      <c r="V58" s="29">
        <f>R58+S58+T58+U58</f>
        <v>-30.161000000000001</v>
      </c>
      <c r="W58" s="28">
        <v>-9.4179999999999993</v>
      </c>
      <c r="X58" s="30">
        <f>V58-W58</f>
        <v>-20.743000000000002</v>
      </c>
      <c r="Y58" s="28"/>
      <c r="Z58" s="31">
        <f>K58/D58*2</f>
        <v>2.0526358845981568E-2</v>
      </c>
      <c r="AA58" s="32">
        <f>L58/D58*2</f>
        <v>4.7685864038319323E-3</v>
      </c>
      <c r="AB58" s="33">
        <f>O58/(N58+S58+T58)</f>
        <v>0.49440599884330816</v>
      </c>
      <c r="AC58" s="33">
        <f>O58/(N58+S58)</f>
        <v>0.48853111575296576</v>
      </c>
      <c r="AD58" s="33">
        <f>O58/N58</f>
        <v>0.52922466057552731</v>
      </c>
      <c r="AE58" s="32">
        <f>O58/D58</f>
        <v>6.6933544070545475E-3</v>
      </c>
      <c r="AF58" s="32">
        <f>X58/D58</f>
        <v>-5.6004296101622572E-3</v>
      </c>
      <c r="AG58" s="32">
        <f>X58/DV58</f>
        <v>-1.1814633901842226E-2</v>
      </c>
      <c r="AH58" s="32">
        <f>(P58+S58+T58)/DV58</f>
        <v>1.4439791673311672E-2</v>
      </c>
      <c r="AI58" s="32">
        <f>R58/DV58</f>
        <v>-1.7918738010507466E-2</v>
      </c>
      <c r="AJ58" s="34">
        <f>X58/FZ58</f>
        <v>-4.9172147556741881E-2</v>
      </c>
      <c r="AK58" s="35"/>
      <c r="AL58" s="36">
        <f>(GF58-GE58)/GE58</f>
        <v>-0.1963348397857731</v>
      </c>
      <c r="AM58" s="33">
        <f>(GN58-GM58)/GM58</f>
        <v>-5.0643825334284118E-2</v>
      </c>
      <c r="AN58" s="34">
        <f>(GR58-GQ58)/GQ58</f>
        <v>2.955618030664264E-2</v>
      </c>
      <c r="AO58" s="28"/>
      <c r="AP58" s="36">
        <f>G58/E58</f>
        <v>1.1327541994087256</v>
      </c>
      <c r="AQ58" s="33">
        <f>CN58/(CN58+CM58+CP58+CS58)</f>
        <v>0.77804636385930881</v>
      </c>
      <c r="AR58" s="33">
        <f>((CM58+CP58+CS58)-CW58)/CL58</f>
        <v>-0.16009702683621641</v>
      </c>
      <c r="AS58" s="33">
        <f>(CM58+CP58+50%*F58)/C58</f>
        <v>0.41604637619051543</v>
      </c>
      <c r="AT58" s="33">
        <f>CW58/CU58</f>
        <v>0.35800155484680918</v>
      </c>
      <c r="AU58" s="37">
        <v>6.98</v>
      </c>
      <c r="AV58" s="38">
        <v>1.39</v>
      </c>
      <c r="AW58" s="28"/>
      <c r="AX58" s="36">
        <f>GB58/C58</f>
        <v>0.10383629605821611</v>
      </c>
      <c r="AY58" s="33">
        <v>9.7799999999999998E-2</v>
      </c>
      <c r="AZ58" s="33">
        <f>(DR58)/DX58</f>
        <v>0.22865263903316593</v>
      </c>
      <c r="BA58" s="33">
        <f>(DS58)/DX58</f>
        <v>0.24817885493062986</v>
      </c>
      <c r="BB58" s="34">
        <f>(DT58)/DX58</f>
        <v>0.28723128672555776</v>
      </c>
      <c r="BC58" s="33"/>
      <c r="BD58" s="36">
        <f>DZ58/EC58</f>
        <v>0.17990845643130723</v>
      </c>
      <c r="BE58" s="33">
        <f>EA58/EC58</f>
        <v>0.19988844590695209</v>
      </c>
      <c r="BF58" s="34">
        <f>EB58/EC58</f>
        <v>0.2367705090062627</v>
      </c>
      <c r="BG58" s="25"/>
      <c r="BH58" s="39">
        <v>3.5000000000000003E-2</v>
      </c>
      <c r="BI58" s="63">
        <f>BH58*56.25%</f>
        <v>1.9687500000000004E-2</v>
      </c>
      <c r="BJ58" s="64">
        <f>BH58*75%</f>
        <v>2.6250000000000002E-2</v>
      </c>
      <c r="BK58" s="39"/>
      <c r="BL58" s="33"/>
      <c r="BM58" s="39">
        <f>BD58-(4.5%+2.5%+4.5%+2.5%+BI58)</f>
        <v>2.0220956431307224E-2</v>
      </c>
      <c r="BN58" s="34">
        <f>BE58-(6%+2.5%+4.5%+2.5%+BJ58)</f>
        <v>1.86384459069521E-2</v>
      </c>
      <c r="BO58" s="34">
        <f>BF58-(8%+2.5%+4.5%+2.5%+BH58)</f>
        <v>2.6770509006262683E-2</v>
      </c>
      <c r="BP58" s="28"/>
      <c r="BQ58" s="31">
        <f>Q58/GD58</f>
        <v>2.1390278141968165E-2</v>
      </c>
      <c r="BR58" s="33">
        <f>Q58/(P58+S58+T58)</f>
        <v>2.1107999368886086</v>
      </c>
      <c r="BS58" s="32">
        <f>FC58/E58</f>
        <v>9.2994548808861141E-2</v>
      </c>
      <c r="BT58" s="33">
        <f>FC58/(GB58+FG58)</f>
        <v>0.42919336307459816</v>
      </c>
      <c r="BU58" s="33">
        <f>FR58/FT58</f>
        <v>0.7660226579008631</v>
      </c>
      <c r="BV58" s="34">
        <f>(BU58*E58+F58)/(E58+F58)</f>
        <v>0.86952743797204424</v>
      </c>
      <c r="BW58" s="28"/>
      <c r="BX58" s="27">
        <v>46.762999999999998</v>
      </c>
      <c r="BY58" s="28">
        <v>784.71699999999998</v>
      </c>
      <c r="BZ58" s="29">
        <f>BX58+BY58</f>
        <v>831.48</v>
      </c>
      <c r="CA58" s="25">
        <v>2229.4209999999998</v>
      </c>
      <c r="CB58" s="28">
        <v>101.28</v>
      </c>
      <c r="CC58" s="28">
        <v>3.7869999999999999</v>
      </c>
      <c r="CD58" s="29">
        <f>CA58-CB58-CC58</f>
        <v>2124.3539999999998</v>
      </c>
      <c r="CE58" s="28">
        <v>471.72800000000001</v>
      </c>
      <c r="CF58" s="28">
        <v>177.00399999999999</v>
      </c>
      <c r="CG58" s="29">
        <f>CE58+CF58</f>
        <v>648.73199999999997</v>
      </c>
      <c r="CH58" s="28">
        <v>2</v>
      </c>
      <c r="CI58" s="28">
        <v>0</v>
      </c>
      <c r="CJ58" s="28">
        <v>7.4580000000000002</v>
      </c>
      <c r="CK58" s="28">
        <v>26.206000000000216</v>
      </c>
      <c r="CL58" s="29">
        <f>BZ58+CD58+CG58+CH58+CI58+CJ58+CK58</f>
        <v>3640.23</v>
      </c>
      <c r="CM58" s="28">
        <v>1E-3</v>
      </c>
      <c r="CN58" s="25">
        <v>2525.386</v>
      </c>
      <c r="CO58" s="29">
        <f>CM58+CN58</f>
        <v>2525.3870000000002</v>
      </c>
      <c r="CP58" s="28">
        <v>630.19600000000003</v>
      </c>
      <c r="CQ58" s="28">
        <v>16.437999999999818</v>
      </c>
      <c r="CR58" s="29">
        <f>CP58+CQ58</f>
        <v>646.63399999999979</v>
      </c>
      <c r="CS58" s="28">
        <v>90.221000000000004</v>
      </c>
      <c r="CT58" s="28">
        <v>377.988</v>
      </c>
      <c r="CU58" s="42">
        <f>CO58+CR58+CS58+CT58</f>
        <v>3640.2299999999996</v>
      </c>
      <c r="CV58" s="28"/>
      <c r="CW58" s="43">
        <v>1303.2080000000001</v>
      </c>
      <c r="CX58" s="28"/>
      <c r="CY58" s="24">
        <v>65</v>
      </c>
      <c r="CZ58" s="25">
        <v>375</v>
      </c>
      <c r="DA58" s="25">
        <v>140</v>
      </c>
      <c r="DB58" s="25">
        <v>135</v>
      </c>
      <c r="DC58" s="25">
        <v>0</v>
      </c>
      <c r="DD58" s="25">
        <v>0</v>
      </c>
      <c r="DE58" s="26">
        <f>CY58+CZ58+DA58+DB58+DC58+DD58</f>
        <v>715</v>
      </c>
      <c r="DF58" s="34">
        <f>DE58/C58</f>
        <v>0.19641616051732994</v>
      </c>
      <c r="DG58" s="68"/>
      <c r="DH58" s="44" t="s">
        <v>229</v>
      </c>
      <c r="DI58" s="45">
        <v>21.4</v>
      </c>
      <c r="DJ58" s="46">
        <v>6</v>
      </c>
      <c r="DK58" s="45" t="s">
        <v>168</v>
      </c>
      <c r="DL58" s="47" t="s">
        <v>169</v>
      </c>
      <c r="DM58" s="48" t="s">
        <v>172</v>
      </c>
      <c r="DN58" s="39">
        <v>0.54712487455463266</v>
      </c>
      <c r="DO58" s="36"/>
      <c r="DP58" s="34"/>
      <c r="DQ58" s="25"/>
      <c r="DR58" s="24">
        <v>351.30099999999999</v>
      </c>
      <c r="DS58" s="25">
        <v>381.30099999999999</v>
      </c>
      <c r="DT58" s="26">
        <v>441.30099999999999</v>
      </c>
      <c r="DU58" s="25"/>
      <c r="DV58" s="44">
        <f>DW58/2+DX58/2</f>
        <v>1755.704</v>
      </c>
      <c r="DW58" s="25">
        <v>1975.0119999999999</v>
      </c>
      <c r="DX58" s="26">
        <v>1536.396</v>
      </c>
      <c r="DY58" s="25"/>
      <c r="DZ58" s="24">
        <v>353.51400000000001</v>
      </c>
      <c r="EA58" s="25">
        <v>392.774</v>
      </c>
      <c r="EB58" s="25">
        <v>465.24599999999998</v>
      </c>
      <c r="EC58" s="52">
        <v>1964.9659999999999</v>
      </c>
      <c r="ED58" s="25"/>
      <c r="EE58" s="24">
        <v>23.824861800000001</v>
      </c>
      <c r="EF58" s="25">
        <v>18.491</v>
      </c>
      <c r="EG58" s="25">
        <v>130.71300000000002</v>
      </c>
      <c r="EH58" s="25">
        <v>59.635000000000005</v>
      </c>
      <c r="EI58" s="25">
        <v>356.25400000000002</v>
      </c>
      <c r="EJ58" s="25">
        <v>39.082000000000001</v>
      </c>
      <c r="EK58" s="25">
        <v>25.749000000000002</v>
      </c>
      <c r="EL58" s="25">
        <v>0</v>
      </c>
      <c r="EM58" s="26">
        <v>1893.777</v>
      </c>
      <c r="EN58" s="26">
        <f>EE58+EF58+EG58+EH58+EI58+EK58+EL58+EM58+EJ58</f>
        <v>2547.5258618000003</v>
      </c>
      <c r="EO58" s="45"/>
      <c r="EP58" s="36">
        <f t="shared" ref="EP58:EX58" si="85">EE58/$EN58</f>
        <v>9.3521569917119959E-3</v>
      </c>
      <c r="EQ58" s="33">
        <f t="shared" si="85"/>
        <v>7.2584150281932176E-3</v>
      </c>
      <c r="ER58" s="33">
        <f t="shared" si="85"/>
        <v>5.1309783331362296E-2</v>
      </c>
      <c r="ES58" s="33">
        <f t="shared" si="85"/>
        <v>2.3408987085950062E-2</v>
      </c>
      <c r="ET58" s="33">
        <f t="shared" si="85"/>
        <v>0.13984313381936869</v>
      </c>
      <c r="EU58" s="33">
        <f t="shared" si="85"/>
        <v>1.5341159273800625E-2</v>
      </c>
      <c r="EV58" s="33">
        <f t="shared" si="85"/>
        <v>1.0107453818665684E-2</v>
      </c>
      <c r="EW58" s="33">
        <f t="shared" si="85"/>
        <v>0</v>
      </c>
      <c r="EX58" s="33">
        <f t="shared" si="85"/>
        <v>0.7433789106509473</v>
      </c>
      <c r="EY58" s="39">
        <f>EP58+EQ58+ER58+ES58+ET58+EV58+EW58+EX58+EU58</f>
        <v>0.99999999999999989</v>
      </c>
      <c r="EZ58" s="45"/>
      <c r="FA58" s="27">
        <v>129.94200000000001</v>
      </c>
      <c r="FB58" s="28">
        <v>77.382000000000005</v>
      </c>
      <c r="FC58" s="42">
        <f>FA58+FB58</f>
        <v>207.32400000000001</v>
      </c>
      <c r="FE58" s="27">
        <f>CB58</f>
        <v>101.28</v>
      </c>
      <c r="FF58" s="28">
        <f>CC58</f>
        <v>3.7869999999999999</v>
      </c>
      <c r="FG58" s="42">
        <f>FE58+FF58</f>
        <v>105.06700000000001</v>
      </c>
      <c r="FI58" s="116">
        <v>1804.239</v>
      </c>
      <c r="FJ58" s="116">
        <v>217.96700000000001</v>
      </c>
      <c r="FK58" s="116">
        <v>207.221</v>
      </c>
      <c r="FL58" s="56">
        <f>FI58+FJ58+FK58</f>
        <v>2229.4270000000001</v>
      </c>
      <c r="FM58" s="57">
        <f>FI58/FL58</f>
        <v>0.80928373075234128</v>
      </c>
      <c r="FN58" s="58">
        <f>FJ58/FL58</f>
        <v>9.7768170924636688E-2</v>
      </c>
      <c r="FO58" s="59">
        <f>FK58/FL58</f>
        <v>9.2948098323022005E-2</v>
      </c>
      <c r="FP58" s="61">
        <f>FM58+FN58+FO58</f>
        <v>1</v>
      </c>
      <c r="FR58" s="24">
        <f>FV58*E58</f>
        <v>1707.787</v>
      </c>
      <c r="FS58" s="25">
        <f>E58*FW58</f>
        <v>521.63399999999979</v>
      </c>
      <c r="FT58" s="26">
        <f>FR58+FS58</f>
        <v>2229.4209999999998</v>
      </c>
      <c r="FV58" s="36">
        <v>0.7660226579008631</v>
      </c>
      <c r="FW58" s="33">
        <v>0.2339773420991369</v>
      </c>
      <c r="FX58" s="34">
        <f>FV58+FW58</f>
        <v>1</v>
      </c>
      <c r="FY58" s="45"/>
      <c r="FZ58" s="44">
        <f>GA58/2+GB58/2</f>
        <v>421.84450000000004</v>
      </c>
      <c r="GA58" s="25">
        <v>465.70100000000002</v>
      </c>
      <c r="GB58" s="26">
        <f>CT58</f>
        <v>377.988</v>
      </c>
      <c r="GD58" s="44">
        <f>GE58/2+GF58/2</f>
        <v>2501.7439999999997</v>
      </c>
      <c r="GE58" s="25">
        <v>2774.067</v>
      </c>
      <c r="GF58" s="26">
        <f>CA58</f>
        <v>2229.4209999999998</v>
      </c>
      <c r="GH58" s="44">
        <f>GI58/2+GJ58/2</f>
        <v>1602.9304999999999</v>
      </c>
      <c r="GI58" s="25">
        <v>1437.2460000000001</v>
      </c>
      <c r="GJ58" s="26">
        <f>F58</f>
        <v>1768.615</v>
      </c>
      <c r="GL58" s="44">
        <f>GM58/2+GN58/2</f>
        <v>4104.6745000000001</v>
      </c>
      <c r="GM58" s="45">
        <f>GE58+GI58</f>
        <v>4211.3130000000001</v>
      </c>
      <c r="GN58" s="46">
        <f>GF58+GJ58</f>
        <v>3998.0360000000001</v>
      </c>
      <c r="GP58" s="44">
        <f>GQ58/2+GR58/2</f>
        <v>2489.1369999999997</v>
      </c>
      <c r="GQ58" s="25">
        <v>2452.8879999999999</v>
      </c>
      <c r="GR58" s="26">
        <f>G58</f>
        <v>2525.386</v>
      </c>
      <c r="GS58" s="25"/>
      <c r="GT58" s="44">
        <f>GU58/2+GV58/2</f>
        <v>3703.8230000000003</v>
      </c>
      <c r="GU58" s="25">
        <v>3767.4160000000002</v>
      </c>
      <c r="GV58" s="26">
        <f>C58</f>
        <v>3640.23</v>
      </c>
      <c r="GW58" s="25"/>
      <c r="GX58" s="61">
        <f>DX58/C58</f>
        <v>0.4220601445513058</v>
      </c>
      <c r="GY58" s="62"/>
    </row>
    <row r="59" spans="1:222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BG59" s="1"/>
      <c r="CY59" s="1"/>
      <c r="CZ59" s="1"/>
      <c r="DA59" s="1"/>
      <c r="DB59" s="1"/>
      <c r="DC59" s="1"/>
      <c r="DD59" s="1"/>
      <c r="DE59" s="1"/>
      <c r="DF59" s="1"/>
      <c r="DG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E59" s="1"/>
      <c r="FF59" s="1"/>
      <c r="FG59" s="1"/>
      <c r="FI59" s="1"/>
      <c r="FJ59" s="1"/>
      <c r="FK59" s="1"/>
      <c r="FL59" s="1"/>
      <c r="FM59" s="1"/>
      <c r="FN59" s="1"/>
      <c r="FO59" s="1"/>
      <c r="FP59" s="1"/>
      <c r="FY59" s="1"/>
      <c r="FZ59" s="1"/>
      <c r="GA59" s="1"/>
      <c r="GB59" s="1"/>
      <c r="GD59" s="1"/>
      <c r="GE59" s="1"/>
      <c r="GF59" s="1"/>
      <c r="GH59" s="1"/>
      <c r="GI59" s="1"/>
      <c r="GJ59" s="1"/>
      <c r="GL59" s="1"/>
      <c r="GP59" s="1"/>
      <c r="GQ59" s="1"/>
      <c r="GR59" s="1"/>
      <c r="GS59" s="1"/>
      <c r="GT59" s="1"/>
      <c r="GU59" s="1"/>
      <c r="GV59" s="1"/>
      <c r="GW59" s="1"/>
      <c r="GX59" s="1"/>
      <c r="GY59" s="1"/>
    </row>
    <row r="60" spans="1:222" x14ac:dyDescent="0.25">
      <c r="B60" s="125" t="s">
        <v>231</v>
      </c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DH60"/>
      <c r="FD60"/>
      <c r="FH60"/>
      <c r="FI60" s="123"/>
      <c r="FJ60" s="123"/>
      <c r="FK60" s="123"/>
      <c r="FQ60"/>
      <c r="FR60"/>
      <c r="FS60"/>
      <c r="FT60"/>
      <c r="FU60"/>
      <c r="FV60"/>
      <c r="FW60"/>
      <c r="FX60"/>
      <c r="GC60"/>
      <c r="GG60"/>
      <c r="GK60"/>
      <c r="GM60"/>
      <c r="GN60"/>
      <c r="GO60"/>
    </row>
    <row r="61" spans="1:222" x14ac:dyDescent="0.25"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DH61"/>
      <c r="FD61"/>
      <c r="FH61"/>
      <c r="FQ61"/>
      <c r="FR61"/>
      <c r="FS61"/>
      <c r="FT61"/>
      <c r="FU61"/>
      <c r="FV61"/>
      <c r="FW61"/>
      <c r="FX61"/>
      <c r="GC61"/>
      <c r="GG61"/>
      <c r="GK61"/>
      <c r="GM61"/>
      <c r="GN61"/>
      <c r="GO61"/>
    </row>
    <row r="62" spans="1:222" x14ac:dyDescent="0.25"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DH62"/>
      <c r="FD62"/>
      <c r="FH62"/>
      <c r="FQ62"/>
      <c r="FR62"/>
      <c r="FS62"/>
      <c r="FT62"/>
      <c r="FU62"/>
      <c r="FV62"/>
      <c r="FW62"/>
      <c r="FX62"/>
      <c r="GC62"/>
      <c r="GG62"/>
      <c r="GK62"/>
      <c r="GM62"/>
      <c r="GN62"/>
      <c r="GO62"/>
    </row>
    <row r="63" spans="1:222" x14ac:dyDescent="0.25"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DH63"/>
      <c r="FD63"/>
      <c r="FH63"/>
      <c r="FQ63"/>
      <c r="FR63"/>
      <c r="FS63"/>
      <c r="FT63"/>
      <c r="FU63"/>
      <c r="FV63"/>
      <c r="FW63"/>
      <c r="FX63"/>
      <c r="GC63"/>
      <c r="GG63"/>
      <c r="GK63"/>
      <c r="GM63"/>
      <c r="GN63"/>
      <c r="GO63"/>
    </row>
    <row r="64" spans="1:222" x14ac:dyDescent="0.25"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DH64"/>
      <c r="FD64"/>
      <c r="FH64"/>
      <c r="FQ64"/>
      <c r="FR64"/>
      <c r="FS64"/>
      <c r="FT64"/>
      <c r="FU64"/>
      <c r="FV64"/>
      <c r="FW64"/>
      <c r="FX64"/>
      <c r="GC64"/>
      <c r="GG64"/>
      <c r="GK64"/>
      <c r="GM64"/>
      <c r="GN64"/>
      <c r="GO64"/>
    </row>
    <row r="65" spans="37:197" x14ac:dyDescent="0.25"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DH65"/>
      <c r="FD65"/>
      <c r="FH65"/>
      <c r="FQ65"/>
      <c r="FR65"/>
      <c r="FS65"/>
      <c r="FT65"/>
      <c r="FU65"/>
      <c r="FV65"/>
      <c r="FW65"/>
      <c r="FX65"/>
      <c r="GC65"/>
      <c r="GG65"/>
      <c r="GK65"/>
      <c r="GM65"/>
      <c r="GN65"/>
      <c r="GO65"/>
    </row>
    <row r="66" spans="37:197" x14ac:dyDescent="0.25"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DH66"/>
      <c r="FD66"/>
      <c r="FH66"/>
      <c r="FQ66"/>
      <c r="FR66"/>
      <c r="FS66"/>
      <c r="FT66"/>
      <c r="FU66"/>
      <c r="FV66"/>
      <c r="FW66"/>
      <c r="FX66"/>
      <c r="GC66"/>
      <c r="GG66"/>
      <c r="GK66"/>
      <c r="GM66"/>
      <c r="GN66"/>
      <c r="GO66"/>
    </row>
    <row r="67" spans="37:197" x14ac:dyDescent="0.25"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DH67"/>
      <c r="FD67"/>
      <c r="FH67"/>
      <c r="FQ67"/>
      <c r="FR67"/>
      <c r="FS67"/>
      <c r="FT67"/>
      <c r="FU67"/>
      <c r="FV67"/>
      <c r="FW67"/>
      <c r="FX67"/>
      <c r="GC67"/>
      <c r="GG67"/>
      <c r="GK67"/>
      <c r="GM67"/>
      <c r="GN67"/>
      <c r="GO67"/>
    </row>
    <row r="68" spans="37:197" x14ac:dyDescent="0.25"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DH68"/>
      <c r="FD68"/>
      <c r="FH68"/>
      <c r="FQ68"/>
      <c r="FR68"/>
      <c r="FS68"/>
      <c r="FT68"/>
      <c r="FU68"/>
      <c r="FV68"/>
      <c r="FW68"/>
      <c r="FX68"/>
      <c r="GC68"/>
      <c r="GG68"/>
      <c r="GK68"/>
      <c r="GM68"/>
      <c r="GN68"/>
      <c r="GO68"/>
    </row>
    <row r="69" spans="37:197" x14ac:dyDescent="0.25"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DH69"/>
      <c r="FD69"/>
      <c r="FH69"/>
      <c r="FQ69"/>
      <c r="FR69"/>
      <c r="FS69"/>
      <c r="FT69"/>
      <c r="FU69"/>
      <c r="FV69"/>
      <c r="FW69"/>
      <c r="FX69"/>
      <c r="GC69"/>
      <c r="GG69"/>
      <c r="GK69"/>
      <c r="GM69"/>
      <c r="GN69"/>
      <c r="GO69"/>
    </row>
    <row r="70" spans="37:197" x14ac:dyDescent="0.25"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DH70"/>
      <c r="FD70"/>
      <c r="FH70"/>
      <c r="FQ70"/>
      <c r="FR70"/>
      <c r="FS70"/>
      <c r="FT70"/>
      <c r="FU70"/>
      <c r="FV70"/>
      <c r="FW70"/>
      <c r="FX70"/>
      <c r="GC70"/>
      <c r="GG70"/>
      <c r="GK70"/>
      <c r="GM70"/>
      <c r="GN70"/>
      <c r="GO70"/>
    </row>
    <row r="71" spans="37:197" x14ac:dyDescent="0.25"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DH71"/>
      <c r="FD71"/>
      <c r="FH71"/>
      <c r="FQ71"/>
      <c r="FR71"/>
      <c r="FS71"/>
      <c r="FT71"/>
      <c r="FU71"/>
      <c r="FV71"/>
      <c r="FW71"/>
      <c r="FX71"/>
      <c r="GC71"/>
      <c r="GG71"/>
      <c r="GK71"/>
      <c r="GM71"/>
      <c r="GN71"/>
      <c r="GO71"/>
    </row>
    <row r="72" spans="37:197" x14ac:dyDescent="0.25"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DH72"/>
      <c r="FD72"/>
      <c r="FH72"/>
      <c r="FQ72"/>
      <c r="FR72"/>
      <c r="FS72"/>
      <c r="FT72"/>
      <c r="FU72"/>
      <c r="FV72"/>
      <c r="FW72"/>
      <c r="FX72"/>
      <c r="GC72"/>
      <c r="GG72"/>
      <c r="GK72"/>
      <c r="GM72"/>
      <c r="GN72"/>
      <c r="GO72"/>
    </row>
    <row r="73" spans="37:197" x14ac:dyDescent="0.25"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DH73"/>
      <c r="FD73"/>
      <c r="FH73"/>
      <c r="FQ73"/>
      <c r="FR73"/>
      <c r="FS73"/>
      <c r="FT73"/>
      <c r="FU73"/>
      <c r="FV73"/>
      <c r="FW73"/>
      <c r="FX73"/>
      <c r="GC73"/>
      <c r="GG73"/>
      <c r="GK73"/>
      <c r="GM73"/>
      <c r="GN73"/>
      <c r="GO73"/>
    </row>
    <row r="74" spans="37:197" x14ac:dyDescent="0.25"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DH74"/>
      <c r="FD74"/>
      <c r="FH74"/>
      <c r="FQ74"/>
      <c r="FR74"/>
      <c r="FS74"/>
      <c r="FT74"/>
      <c r="FU74"/>
      <c r="FV74"/>
      <c r="FW74"/>
      <c r="FX74"/>
      <c r="GC74"/>
      <c r="GG74"/>
      <c r="GK74"/>
      <c r="GM74"/>
      <c r="GN74"/>
      <c r="GO74"/>
    </row>
    <row r="75" spans="37:197" x14ac:dyDescent="0.25"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DH75"/>
      <c r="FD75"/>
      <c r="FH75"/>
      <c r="FQ75"/>
      <c r="FR75"/>
      <c r="FS75"/>
      <c r="FT75"/>
      <c r="FU75"/>
      <c r="FV75"/>
      <c r="FW75"/>
      <c r="FX75"/>
      <c r="GC75"/>
      <c r="GG75"/>
      <c r="GK75"/>
      <c r="GM75"/>
      <c r="GN75"/>
      <c r="GO75"/>
    </row>
    <row r="76" spans="37:197" x14ac:dyDescent="0.25"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DH76"/>
      <c r="FD76"/>
      <c r="FH76"/>
      <c r="FQ76"/>
      <c r="FR76"/>
      <c r="FS76"/>
      <c r="FT76"/>
      <c r="FU76"/>
      <c r="FV76"/>
      <c r="FW76"/>
      <c r="FX76"/>
      <c r="GC76"/>
      <c r="GG76"/>
      <c r="GK76"/>
      <c r="GM76"/>
      <c r="GN76"/>
      <c r="GO76"/>
    </row>
    <row r="77" spans="37:197" x14ac:dyDescent="0.25"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DH77"/>
      <c r="FD77"/>
      <c r="FH77"/>
      <c r="FQ77"/>
      <c r="FR77"/>
      <c r="FS77"/>
      <c r="FT77"/>
      <c r="FU77"/>
      <c r="FV77"/>
      <c r="FW77"/>
      <c r="FX77"/>
      <c r="GC77"/>
      <c r="GG77"/>
      <c r="GK77"/>
      <c r="GM77"/>
      <c r="GN77"/>
      <c r="GO77"/>
    </row>
    <row r="78" spans="37:197" x14ac:dyDescent="0.25"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DH78"/>
      <c r="FD78"/>
      <c r="FH78"/>
      <c r="FQ78"/>
      <c r="FR78"/>
      <c r="FS78"/>
      <c r="FT78"/>
      <c r="FU78"/>
      <c r="FV78"/>
      <c r="FW78"/>
      <c r="FX78"/>
      <c r="GC78"/>
      <c r="GG78"/>
      <c r="GK78"/>
      <c r="GM78"/>
      <c r="GN78"/>
      <c r="GO78"/>
    </row>
    <row r="79" spans="37:197" x14ac:dyDescent="0.25"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DH79"/>
      <c r="FD79"/>
      <c r="FH79"/>
      <c r="FQ79"/>
      <c r="FR79"/>
      <c r="FS79"/>
      <c r="FT79"/>
      <c r="FU79"/>
      <c r="FV79"/>
      <c r="FW79"/>
      <c r="FX79"/>
      <c r="GC79"/>
      <c r="GG79"/>
      <c r="GK79"/>
      <c r="GM79"/>
      <c r="GN79"/>
      <c r="GO79"/>
    </row>
    <row r="80" spans="37:197" x14ac:dyDescent="0.25"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DH80"/>
      <c r="FD80"/>
      <c r="FH80"/>
      <c r="FQ80"/>
      <c r="FR80"/>
      <c r="FS80"/>
      <c r="FT80"/>
      <c r="FU80"/>
      <c r="FV80"/>
      <c r="FW80"/>
      <c r="FX80"/>
      <c r="GC80"/>
      <c r="GG80"/>
      <c r="GK80"/>
      <c r="GM80"/>
      <c r="GN80"/>
      <c r="GO80"/>
    </row>
    <row r="81" spans="37:197" x14ac:dyDescent="0.25"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DH81"/>
      <c r="FD81"/>
      <c r="FH81"/>
      <c r="FQ81"/>
      <c r="FR81"/>
      <c r="FS81"/>
      <c r="FT81"/>
      <c r="FU81"/>
      <c r="FV81"/>
      <c r="FW81"/>
      <c r="FX81"/>
      <c r="GC81"/>
      <c r="GG81"/>
      <c r="GK81"/>
      <c r="GM81"/>
      <c r="GN81"/>
      <c r="GO81"/>
    </row>
    <row r="82" spans="37:197" x14ac:dyDescent="0.25"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DH82"/>
      <c r="FD82"/>
      <c r="FH82"/>
      <c r="FQ82"/>
      <c r="FR82"/>
      <c r="FS82"/>
      <c r="FT82"/>
      <c r="FU82"/>
      <c r="FV82"/>
      <c r="FW82"/>
      <c r="FX82"/>
      <c r="GC82"/>
      <c r="GG82"/>
      <c r="GK82"/>
      <c r="GM82"/>
      <c r="GN82"/>
      <c r="GO82"/>
    </row>
    <row r="83" spans="37:197" x14ac:dyDescent="0.25"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DH83"/>
      <c r="FD83"/>
      <c r="FH83"/>
      <c r="FQ83"/>
      <c r="FR83"/>
      <c r="FS83"/>
      <c r="FT83"/>
      <c r="FU83"/>
      <c r="FV83"/>
      <c r="FW83"/>
      <c r="FX83"/>
      <c r="GC83"/>
      <c r="GG83"/>
      <c r="GK83"/>
      <c r="GM83"/>
      <c r="GN83"/>
      <c r="GO83"/>
    </row>
    <row r="84" spans="37:197" x14ac:dyDescent="0.25"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DH84"/>
      <c r="FD84"/>
      <c r="FH84"/>
      <c r="FQ84"/>
      <c r="FR84"/>
      <c r="FS84"/>
      <c r="FT84"/>
      <c r="FU84"/>
      <c r="FV84"/>
      <c r="FW84"/>
      <c r="FX84"/>
      <c r="GC84"/>
      <c r="GG84"/>
      <c r="GK84"/>
      <c r="GM84"/>
      <c r="GN84"/>
      <c r="GO84"/>
    </row>
    <row r="85" spans="37:197" x14ac:dyDescent="0.25"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DH85"/>
      <c r="FD85"/>
      <c r="FH85"/>
      <c r="FQ85"/>
      <c r="FR85"/>
      <c r="FS85"/>
      <c r="FT85"/>
      <c r="FU85"/>
      <c r="FV85"/>
      <c r="FW85"/>
      <c r="FX85"/>
      <c r="GC85"/>
      <c r="GG85"/>
      <c r="GK85"/>
      <c r="GM85"/>
      <c r="GN85"/>
      <c r="GO85"/>
    </row>
    <row r="86" spans="37:197" x14ac:dyDescent="0.25"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DH86"/>
      <c r="FD86"/>
      <c r="FH86"/>
      <c r="FQ86"/>
      <c r="FR86"/>
      <c r="FS86"/>
      <c r="FT86"/>
      <c r="FU86"/>
      <c r="FV86"/>
      <c r="FW86"/>
      <c r="FX86"/>
      <c r="GC86"/>
      <c r="GG86"/>
      <c r="GK86"/>
      <c r="GM86"/>
      <c r="GN86"/>
      <c r="GO86"/>
    </row>
    <row r="87" spans="37:197" x14ac:dyDescent="0.25"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DH87"/>
      <c r="FD87"/>
      <c r="FH87"/>
      <c r="FQ87"/>
      <c r="FR87"/>
      <c r="FS87"/>
      <c r="FT87"/>
      <c r="FU87"/>
      <c r="FV87"/>
      <c r="FW87"/>
      <c r="FX87"/>
      <c r="GC87"/>
      <c r="GG87"/>
      <c r="GK87"/>
      <c r="GM87"/>
      <c r="GN87"/>
      <c r="GO87"/>
    </row>
    <row r="88" spans="37:197" x14ac:dyDescent="0.25"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DH88"/>
      <c r="FD88"/>
      <c r="FH88"/>
      <c r="FQ88"/>
      <c r="FR88"/>
      <c r="FS88"/>
      <c r="FT88"/>
      <c r="FU88"/>
      <c r="FV88"/>
      <c r="FW88"/>
      <c r="FX88"/>
      <c r="GC88"/>
      <c r="GG88"/>
      <c r="GK88"/>
      <c r="GM88"/>
      <c r="GN88"/>
      <c r="GO88"/>
    </row>
    <row r="89" spans="37:197" x14ac:dyDescent="0.25"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DH89"/>
      <c r="FD89"/>
      <c r="FH89"/>
      <c r="FQ89"/>
      <c r="FR89"/>
      <c r="FS89"/>
      <c r="FT89"/>
      <c r="FU89"/>
      <c r="FV89"/>
      <c r="FW89"/>
      <c r="FX89"/>
      <c r="GC89"/>
      <c r="GG89"/>
      <c r="GK89"/>
      <c r="GM89"/>
      <c r="GN89"/>
      <c r="GO89"/>
    </row>
    <row r="90" spans="37:197" x14ac:dyDescent="0.25"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DH90"/>
      <c r="FD90"/>
      <c r="FH90"/>
      <c r="FQ90"/>
      <c r="FR90"/>
      <c r="FS90"/>
      <c r="FT90"/>
      <c r="FU90"/>
      <c r="FV90"/>
      <c r="FW90"/>
      <c r="FX90"/>
      <c r="GC90"/>
      <c r="GG90"/>
      <c r="GK90"/>
      <c r="GM90"/>
      <c r="GN90"/>
      <c r="GO90"/>
    </row>
    <row r="91" spans="37:197" x14ac:dyDescent="0.25"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DH91"/>
      <c r="FD91"/>
      <c r="FH91"/>
      <c r="FQ91"/>
      <c r="FR91"/>
      <c r="FS91"/>
      <c r="FT91"/>
      <c r="FU91"/>
      <c r="FV91"/>
      <c r="FW91"/>
      <c r="FX91"/>
      <c r="GC91"/>
      <c r="GG91"/>
      <c r="GK91"/>
      <c r="GM91"/>
      <c r="GN91"/>
      <c r="GO91"/>
    </row>
    <row r="92" spans="37:197" x14ac:dyDescent="0.25"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DH92"/>
      <c r="FD92"/>
      <c r="FH92"/>
      <c r="FQ92"/>
      <c r="FR92"/>
      <c r="FS92"/>
      <c r="FT92"/>
      <c r="FU92"/>
      <c r="FV92"/>
      <c r="FW92"/>
      <c r="FX92"/>
      <c r="GC92"/>
      <c r="GG92"/>
      <c r="GK92"/>
      <c r="GM92"/>
      <c r="GN92"/>
      <c r="GO92"/>
    </row>
    <row r="93" spans="37:197" x14ac:dyDescent="0.25"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DH93"/>
      <c r="FD93"/>
      <c r="FH93"/>
      <c r="FQ93"/>
      <c r="FR93"/>
      <c r="FS93"/>
      <c r="FT93"/>
      <c r="FU93"/>
      <c r="FV93"/>
      <c r="FW93"/>
      <c r="FX93"/>
      <c r="GC93"/>
      <c r="GG93"/>
      <c r="GK93"/>
      <c r="GM93"/>
      <c r="GN93"/>
      <c r="GO93"/>
    </row>
    <row r="94" spans="37:197" x14ac:dyDescent="0.25"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DH94"/>
      <c r="FD94"/>
      <c r="FH94"/>
      <c r="FQ94"/>
      <c r="FR94"/>
      <c r="FS94"/>
      <c r="FT94"/>
      <c r="FU94"/>
      <c r="FV94"/>
      <c r="FW94"/>
      <c r="FX94"/>
      <c r="GC94"/>
      <c r="GG94"/>
      <c r="GK94"/>
      <c r="GM94"/>
      <c r="GN94"/>
      <c r="GO94"/>
    </row>
    <row r="95" spans="37:197" x14ac:dyDescent="0.25"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DH95"/>
      <c r="FD95"/>
      <c r="FH95"/>
      <c r="FQ95"/>
      <c r="FR95"/>
      <c r="FS95"/>
      <c r="FT95"/>
      <c r="FU95"/>
      <c r="FV95"/>
      <c r="FW95"/>
      <c r="FX95"/>
      <c r="GC95"/>
      <c r="GG95"/>
      <c r="GK95"/>
      <c r="GM95"/>
      <c r="GN95"/>
      <c r="GO95"/>
    </row>
    <row r="96" spans="37:197" x14ac:dyDescent="0.25"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DH96"/>
      <c r="FD96"/>
      <c r="FH96"/>
      <c r="FQ96"/>
      <c r="FR96"/>
      <c r="FS96"/>
      <c r="FT96"/>
      <c r="FU96"/>
      <c r="FV96"/>
      <c r="FW96"/>
      <c r="FX96"/>
      <c r="GC96"/>
      <c r="GG96"/>
      <c r="GK96"/>
      <c r="GM96"/>
      <c r="GN96"/>
      <c r="GO96"/>
    </row>
    <row r="97" spans="37:197" x14ac:dyDescent="0.25"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DH97"/>
      <c r="FD97"/>
      <c r="FH97"/>
      <c r="FQ97"/>
      <c r="FR97"/>
      <c r="FS97"/>
      <c r="FT97"/>
      <c r="FU97"/>
      <c r="FV97"/>
      <c r="FW97"/>
      <c r="FX97"/>
      <c r="GC97"/>
      <c r="GG97"/>
      <c r="GK97"/>
      <c r="GM97"/>
      <c r="GN97"/>
      <c r="GO97"/>
    </row>
    <row r="98" spans="37:197" x14ac:dyDescent="0.25"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DH98"/>
      <c r="FD98"/>
      <c r="FH98"/>
      <c r="FQ98"/>
      <c r="FR98"/>
      <c r="FS98"/>
      <c r="FT98"/>
      <c r="FU98"/>
      <c r="FV98"/>
      <c r="FW98"/>
      <c r="FX98"/>
      <c r="GC98"/>
      <c r="GG98"/>
      <c r="GK98"/>
      <c r="GM98"/>
      <c r="GN98"/>
      <c r="GO98"/>
    </row>
    <row r="99" spans="37:197" x14ac:dyDescent="0.25"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DH99"/>
      <c r="FD99"/>
      <c r="FH99"/>
      <c r="FQ99"/>
      <c r="FR99"/>
      <c r="FS99"/>
      <c r="FT99"/>
      <c r="FU99"/>
      <c r="FV99"/>
      <c r="FW99"/>
      <c r="FX99"/>
      <c r="GC99"/>
      <c r="GG99"/>
      <c r="GK99"/>
      <c r="GM99"/>
      <c r="GN99"/>
      <c r="GO99"/>
    </row>
    <row r="100" spans="37:197" x14ac:dyDescent="0.25"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DH100"/>
      <c r="FD100"/>
      <c r="FH100"/>
      <c r="FQ100"/>
      <c r="FR100"/>
      <c r="FS100"/>
      <c r="FT100"/>
      <c r="FU100"/>
      <c r="FV100"/>
      <c r="FW100"/>
      <c r="FX100"/>
      <c r="GC100"/>
      <c r="GG100"/>
      <c r="GK100"/>
      <c r="GM100"/>
      <c r="GN100"/>
      <c r="GO100"/>
    </row>
    <row r="101" spans="37:197" x14ac:dyDescent="0.25"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DH101"/>
      <c r="FD101"/>
      <c r="FH101"/>
      <c r="FQ101"/>
      <c r="FR101"/>
      <c r="FS101"/>
      <c r="FT101"/>
      <c r="FU101"/>
      <c r="FV101"/>
      <c r="FW101"/>
      <c r="FX101"/>
      <c r="GC101"/>
      <c r="GG101"/>
      <c r="GK101"/>
      <c r="GM101"/>
      <c r="GN101"/>
      <c r="GO101"/>
    </row>
    <row r="102" spans="37:197" x14ac:dyDescent="0.25"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DH102"/>
      <c r="FD102"/>
      <c r="FH102"/>
      <c r="FQ102"/>
      <c r="FR102"/>
      <c r="FS102"/>
      <c r="FT102"/>
      <c r="FU102"/>
      <c r="FV102"/>
      <c r="FW102"/>
      <c r="FX102"/>
      <c r="GC102"/>
      <c r="GG102"/>
      <c r="GK102"/>
      <c r="GM102"/>
      <c r="GN102"/>
      <c r="GO102"/>
    </row>
    <row r="103" spans="37:197" x14ac:dyDescent="0.25"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DH103"/>
      <c r="FD103"/>
      <c r="FH103"/>
      <c r="FQ103"/>
      <c r="FR103"/>
      <c r="FS103"/>
      <c r="FT103"/>
      <c r="FU103"/>
      <c r="FV103"/>
      <c r="FW103"/>
      <c r="FX103"/>
      <c r="GC103"/>
      <c r="GG103"/>
      <c r="GK103"/>
      <c r="GM103"/>
      <c r="GN103"/>
      <c r="GO103"/>
    </row>
    <row r="104" spans="37:197" x14ac:dyDescent="0.25"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DH104"/>
      <c r="FD104"/>
      <c r="FH104"/>
      <c r="FQ104"/>
      <c r="FR104"/>
      <c r="FS104"/>
      <c r="FT104"/>
      <c r="FU104"/>
      <c r="FV104"/>
      <c r="FW104"/>
      <c r="FX104"/>
      <c r="GC104"/>
      <c r="GG104"/>
      <c r="GK104"/>
      <c r="GM104"/>
      <c r="GN104"/>
      <c r="GO104"/>
    </row>
    <row r="105" spans="37:197" x14ac:dyDescent="0.25"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DH105"/>
      <c r="FD105"/>
      <c r="FH105"/>
      <c r="FQ105"/>
      <c r="FR105"/>
      <c r="FS105"/>
      <c r="FT105"/>
      <c r="FU105"/>
      <c r="FV105"/>
      <c r="FW105"/>
      <c r="FX105"/>
      <c r="GC105"/>
      <c r="GG105"/>
      <c r="GK105"/>
      <c r="GM105"/>
      <c r="GN105"/>
      <c r="GO105"/>
    </row>
    <row r="106" spans="37:197" x14ac:dyDescent="0.25"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DH106"/>
      <c r="FD106"/>
      <c r="FH106"/>
      <c r="FQ106"/>
      <c r="FR106"/>
      <c r="FS106"/>
      <c r="FT106"/>
      <c r="FU106"/>
      <c r="FV106"/>
      <c r="FW106"/>
      <c r="FX106"/>
      <c r="GC106"/>
      <c r="GG106"/>
      <c r="GK106"/>
      <c r="GM106"/>
      <c r="GN106"/>
      <c r="GO106"/>
    </row>
    <row r="107" spans="37:197" x14ac:dyDescent="0.25"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DH107"/>
      <c r="FD107"/>
      <c r="FH107"/>
      <c r="FQ107"/>
      <c r="FR107"/>
      <c r="FS107"/>
      <c r="FT107"/>
      <c r="FU107"/>
      <c r="FV107"/>
      <c r="FW107"/>
      <c r="FX107"/>
      <c r="GC107"/>
      <c r="GG107"/>
      <c r="GK107"/>
      <c r="GM107"/>
      <c r="GN107"/>
      <c r="GO107"/>
    </row>
    <row r="108" spans="37:197" x14ac:dyDescent="0.25"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DH108"/>
      <c r="FD108"/>
      <c r="FH108"/>
      <c r="FQ108"/>
      <c r="FR108"/>
      <c r="FS108"/>
      <c r="FT108"/>
      <c r="FU108"/>
      <c r="FV108"/>
      <c r="FW108"/>
      <c r="FX108"/>
      <c r="GC108"/>
      <c r="GG108"/>
      <c r="GK108"/>
      <c r="GM108"/>
      <c r="GN108"/>
      <c r="GO108"/>
    </row>
    <row r="109" spans="37:197" x14ac:dyDescent="0.25"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DH109"/>
      <c r="FD109"/>
      <c r="FH109"/>
      <c r="FQ109"/>
      <c r="FR109"/>
      <c r="FS109"/>
      <c r="FT109"/>
      <c r="FU109"/>
      <c r="FV109"/>
      <c r="FW109"/>
      <c r="FX109"/>
      <c r="GC109"/>
      <c r="GG109"/>
      <c r="GK109"/>
      <c r="GM109"/>
      <c r="GN109"/>
      <c r="GO109"/>
    </row>
    <row r="110" spans="37:197" x14ac:dyDescent="0.25"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DH110"/>
      <c r="FD110"/>
      <c r="FH110"/>
      <c r="FQ110"/>
      <c r="FR110"/>
      <c r="FS110"/>
      <c r="FT110"/>
      <c r="FU110"/>
      <c r="FV110"/>
      <c r="FW110"/>
      <c r="FX110"/>
      <c r="GC110"/>
      <c r="GG110"/>
      <c r="GK110"/>
      <c r="GM110"/>
      <c r="GN110"/>
      <c r="GO110"/>
    </row>
    <row r="111" spans="37:197" x14ac:dyDescent="0.25"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DH111"/>
      <c r="FD111"/>
      <c r="FH111"/>
      <c r="FQ111"/>
      <c r="FR111"/>
      <c r="FS111"/>
      <c r="FT111"/>
      <c r="FU111"/>
      <c r="FV111"/>
      <c r="FW111"/>
      <c r="FX111"/>
      <c r="GC111"/>
      <c r="GG111"/>
      <c r="GK111"/>
      <c r="GM111"/>
      <c r="GN111"/>
      <c r="GO111"/>
    </row>
    <row r="112" spans="37:197" x14ac:dyDescent="0.25"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DH112"/>
      <c r="FD112"/>
      <c r="FH112"/>
      <c r="FQ112"/>
      <c r="FR112"/>
      <c r="FS112"/>
      <c r="FT112"/>
      <c r="FU112"/>
      <c r="FV112"/>
      <c r="FW112"/>
      <c r="FX112"/>
      <c r="GC112"/>
      <c r="GG112"/>
      <c r="GK112"/>
      <c r="GM112"/>
      <c r="GN112"/>
      <c r="GO112"/>
    </row>
    <row r="113" spans="37:197" x14ac:dyDescent="0.25"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DH113"/>
      <c r="FD113"/>
      <c r="FH113"/>
      <c r="FQ113"/>
      <c r="FR113"/>
      <c r="FS113"/>
      <c r="FT113"/>
      <c r="FU113"/>
      <c r="FV113"/>
      <c r="FW113"/>
      <c r="FX113"/>
      <c r="GC113"/>
      <c r="GG113"/>
      <c r="GK113"/>
      <c r="GM113"/>
      <c r="GN113"/>
      <c r="GO113"/>
    </row>
    <row r="114" spans="37:197" x14ac:dyDescent="0.25"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DH114"/>
      <c r="FD114"/>
      <c r="FH114"/>
      <c r="FQ114"/>
      <c r="FR114"/>
      <c r="FS114"/>
      <c r="FT114"/>
      <c r="FU114"/>
      <c r="FV114"/>
      <c r="FW114"/>
      <c r="FX114"/>
      <c r="GC114"/>
      <c r="GG114"/>
      <c r="GK114"/>
      <c r="GM114"/>
      <c r="GN114"/>
      <c r="GO114"/>
    </row>
    <row r="115" spans="37:197" x14ac:dyDescent="0.25"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DH115"/>
      <c r="FD115"/>
      <c r="FH115"/>
      <c r="FQ115"/>
      <c r="FR115"/>
      <c r="FS115"/>
      <c r="FT115"/>
      <c r="FU115"/>
      <c r="FV115"/>
      <c r="FW115"/>
      <c r="FX115"/>
      <c r="GC115"/>
      <c r="GG115"/>
      <c r="GK115"/>
      <c r="GM115"/>
      <c r="GN115"/>
      <c r="GO115"/>
    </row>
    <row r="116" spans="37:197" x14ac:dyDescent="0.25"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DH116"/>
      <c r="FH116"/>
    </row>
    <row r="117" spans="37:197" x14ac:dyDescent="0.25"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DH117"/>
      <c r="FH117"/>
    </row>
    <row r="118" spans="37:197" x14ac:dyDescent="0.25"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DH118"/>
      <c r="FH118"/>
    </row>
    <row r="119" spans="37:197" x14ac:dyDescent="0.25"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DH119"/>
      <c r="FH119"/>
    </row>
    <row r="120" spans="37:197" x14ac:dyDescent="0.25"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DH120"/>
      <c r="FH120"/>
    </row>
    <row r="121" spans="37:197" x14ac:dyDescent="0.25"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DH121"/>
      <c r="FH121"/>
    </row>
    <row r="122" spans="37:197" x14ac:dyDescent="0.25"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DH122"/>
      <c r="FH122"/>
    </row>
    <row r="123" spans="37:197" x14ac:dyDescent="0.25"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DH123"/>
      <c r="FH123"/>
    </row>
    <row r="124" spans="37:197" x14ac:dyDescent="0.25"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DH124"/>
    </row>
    <row r="125" spans="37:197" x14ac:dyDescent="0.25"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DH125"/>
    </row>
    <row r="126" spans="37:197" x14ac:dyDescent="0.25"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DH126"/>
    </row>
    <row r="127" spans="37:197" x14ac:dyDescent="0.25"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DH127"/>
    </row>
    <row r="128" spans="37:197" x14ac:dyDescent="0.25"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DH128"/>
    </row>
    <row r="129" spans="37:112" x14ac:dyDescent="0.25"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DH129"/>
    </row>
    <row r="130" spans="37:112" x14ac:dyDescent="0.25"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DH130"/>
    </row>
    <row r="131" spans="37:112" x14ac:dyDescent="0.25"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DH131"/>
    </row>
    <row r="132" spans="37:112" x14ac:dyDescent="0.25"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DH132"/>
    </row>
    <row r="133" spans="37:112" x14ac:dyDescent="0.25"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DH133"/>
    </row>
    <row r="134" spans="37:112" x14ac:dyDescent="0.25"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DH134"/>
    </row>
    <row r="135" spans="37:112" x14ac:dyDescent="0.25"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DH135"/>
    </row>
    <row r="136" spans="37:112" x14ac:dyDescent="0.25"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DH136"/>
    </row>
    <row r="137" spans="37:112" x14ac:dyDescent="0.25"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DH137"/>
    </row>
    <row r="138" spans="37:112" x14ac:dyDescent="0.25"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DH138"/>
    </row>
    <row r="139" spans="37:112" x14ac:dyDescent="0.25"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DH139"/>
    </row>
    <row r="140" spans="37:112" x14ac:dyDescent="0.25"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DH140"/>
    </row>
    <row r="141" spans="37:112" x14ac:dyDescent="0.25"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DH141"/>
    </row>
    <row r="142" spans="37:112" x14ac:dyDescent="0.25"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DH142"/>
    </row>
    <row r="143" spans="37:112" x14ac:dyDescent="0.25"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DH143"/>
    </row>
    <row r="144" spans="37:112" x14ac:dyDescent="0.25"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DH144"/>
    </row>
    <row r="145" spans="37:112" x14ac:dyDescent="0.25"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DH145"/>
    </row>
    <row r="146" spans="37:112" x14ac:dyDescent="0.25"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DH146"/>
    </row>
    <row r="147" spans="37:112" x14ac:dyDescent="0.25"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DH147"/>
    </row>
    <row r="148" spans="37:112" x14ac:dyDescent="0.25"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DH148"/>
    </row>
    <row r="149" spans="37:112" x14ac:dyDescent="0.25"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DH149"/>
    </row>
    <row r="150" spans="37:112" x14ac:dyDescent="0.25"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DH150"/>
    </row>
    <row r="151" spans="37:112" x14ac:dyDescent="0.25"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DH151"/>
    </row>
    <row r="152" spans="37:112" x14ac:dyDescent="0.25"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DH152"/>
    </row>
    <row r="153" spans="37:112" x14ac:dyDescent="0.25"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DH153"/>
    </row>
    <row r="154" spans="37:112" x14ac:dyDescent="0.25"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DH154"/>
    </row>
    <row r="155" spans="37:112" x14ac:dyDescent="0.25"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DH155"/>
    </row>
    <row r="156" spans="37:112" x14ac:dyDescent="0.25"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DH156"/>
    </row>
    <row r="157" spans="37:112" x14ac:dyDescent="0.25"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DH157"/>
    </row>
    <row r="158" spans="37:112" x14ac:dyDescent="0.25"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DH158"/>
    </row>
    <row r="159" spans="37:112" x14ac:dyDescent="0.25"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DH159"/>
    </row>
    <row r="160" spans="37:112" x14ac:dyDescent="0.25"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DH160"/>
    </row>
    <row r="161" spans="37:112" x14ac:dyDescent="0.25"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DH161"/>
    </row>
    <row r="162" spans="37:112" x14ac:dyDescent="0.25"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DH162"/>
    </row>
    <row r="163" spans="37:112" x14ac:dyDescent="0.25"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DH163"/>
    </row>
    <row r="164" spans="37:112" x14ac:dyDescent="0.25"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DH164"/>
    </row>
    <row r="165" spans="37:112" x14ac:dyDescent="0.25"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DH165"/>
    </row>
    <row r="166" spans="37:112" x14ac:dyDescent="0.25"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DH166"/>
    </row>
    <row r="167" spans="37:112" x14ac:dyDescent="0.25"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DH167"/>
    </row>
    <row r="168" spans="37:112" x14ac:dyDescent="0.25"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DH168"/>
    </row>
    <row r="169" spans="37:112" x14ac:dyDescent="0.25"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DH169"/>
    </row>
    <row r="170" spans="37:112" x14ac:dyDescent="0.25"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DH170"/>
    </row>
    <row r="171" spans="37:112" x14ac:dyDescent="0.25"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DH171"/>
    </row>
  </sheetData>
  <pageMargins left="0.7" right="0.7" top="0.75" bottom="0.75" header="0.3" footer="0.3"/>
  <ignoredErrors>
    <ignoredError sqref="N48:V4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695E7BB6A7DC448166D51D58B8927A" ma:contentTypeVersion="17" ma:contentTypeDescription="Opprett et nytt dokument." ma:contentTypeScope="" ma:versionID="5fb48c6a64b4b25caec18a0136bf805c">
  <xsd:schema xmlns:xsd="http://www.w3.org/2001/XMLSchema" xmlns:xs="http://www.w3.org/2001/XMLSchema" xmlns:p="http://schemas.microsoft.com/office/2006/metadata/properties" xmlns:ns2="edad25e2-8650-4926-b9c1-384e251e3357" xmlns:ns3="fb01cd13-81db-4f45-a94a-b394074e628f" targetNamespace="http://schemas.microsoft.com/office/2006/metadata/properties" ma:root="true" ma:fieldsID="7f10206750da48cf07ed5c13d60cb422" ns2:_="" ns3:_="">
    <xsd:import namespace="edad25e2-8650-4926-b9c1-384e251e3357"/>
    <xsd:import namespace="fb01cd13-81db-4f45-a94a-b394074e62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d25e2-8650-4926-b9c1-384e251e33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06604d7d-b179-40e3-9457-2227251b16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1cd13-81db-4f45-a94a-b394074e62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1fb15498-ede1-4023-840c-6f122ae772d9}" ma:internalName="TaxCatchAll" ma:showField="CatchAllData" ma:web="fb01cd13-81db-4f45-a94a-b394074e62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ad25e2-8650-4926-b9c1-384e251e3357">
      <Terms xmlns="http://schemas.microsoft.com/office/infopath/2007/PartnerControls"/>
    </lcf76f155ced4ddcb4097134ff3c332f>
    <TaxCatchAll xmlns="fb01cd13-81db-4f45-a94a-b394074e628f" xsi:nil="true"/>
  </documentManagement>
</p:properties>
</file>

<file path=customXml/itemProps1.xml><?xml version="1.0" encoding="utf-8"?>
<ds:datastoreItem xmlns:ds="http://schemas.openxmlformats.org/officeDocument/2006/customXml" ds:itemID="{2390AF92-D878-4FCF-9BD7-0724C7E141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85215A-21A4-47AF-A3B1-63BB988FC1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d25e2-8650-4926-b9c1-384e251e3357"/>
    <ds:schemaRef ds:uri="fb01cd13-81db-4f45-a94a-b394074e62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C8B829-7053-405D-A908-BB65C7BC9DD3}">
  <ds:schemaRefs>
    <ds:schemaRef ds:uri="http://schemas.microsoft.com/office/2006/metadata/properties"/>
    <ds:schemaRef ds:uri="http://schemas.microsoft.com/office/infopath/2007/PartnerControls"/>
    <ds:schemaRef ds:uri="edad25e2-8650-4926-b9c1-384e251e3357"/>
    <ds:schemaRef ds:uri="fb01cd13-81db-4f45-a94a-b394074e628f"/>
  </ds:schemaRefs>
</ds:datastoreItem>
</file>

<file path=docMetadata/LabelInfo.xml><?xml version="1.0" encoding="utf-8"?>
<clbl:labelList xmlns:clbl="http://schemas.microsoft.com/office/2020/mipLabelMetadata">
  <clbl:label id="{210f7242-1640-41a4-9c4f-28b1303f2cda}" enabled="0" method="" siteId="{210f7242-1640-41a4-9c4f-28b1303f2cd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Øystein Gløersen</dc:creator>
  <cp:lastModifiedBy>Ole Tøger Tøssebro</cp:lastModifiedBy>
  <dcterms:created xsi:type="dcterms:W3CDTF">2026-01-26T02:23:27Z</dcterms:created>
  <dcterms:modified xsi:type="dcterms:W3CDTF">2026-01-28T13:31:55Z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0x01010040695E7BB6A7DC448166D51D58B8927A</vt:lpwstr>
  </property>
</Properties>
</file>